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https://ueanorwich-my.sharepoint.com/personal/tyu15rnu_uea_ac_uk/Documents/Desktop/Work copy/Thesis submission/Final docs/"/>
    </mc:Choice>
  </mc:AlternateContent>
  <xr:revisionPtr revIDLastSave="0" documentId="8_{73E5AE19-B23A-4DF4-97A5-78927717C97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calibration_samples_ARF" sheetId="1" r:id="rId1"/>
    <sheet name="Not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78" i="1" l="1"/>
  <c r="AJ75" i="1"/>
  <c r="AJ63" i="1"/>
  <c r="AJ57" i="1"/>
  <c r="AJ54" i="1"/>
  <c r="AJ51" i="1"/>
  <c r="AJ46" i="1"/>
  <c r="AJ40" i="1"/>
  <c r="AJ37" i="1"/>
  <c r="AJ33" i="1"/>
  <c r="AJ28" i="1"/>
  <c r="AJ24" i="1"/>
  <c r="AJ18" i="1"/>
  <c r="AJ14" i="1"/>
  <c r="AJ10" i="1"/>
  <c r="AJ6" i="1"/>
  <c r="AJ2" i="1"/>
  <c r="AI97" i="1" l="1"/>
  <c r="AH97" i="1"/>
  <c r="AI82" i="1"/>
  <c r="AH82" i="1"/>
  <c r="AI78" i="1"/>
  <c r="AK78" i="1" s="1"/>
  <c r="AH78" i="1"/>
  <c r="AI75" i="1"/>
  <c r="AH75" i="1"/>
  <c r="AH73" i="1"/>
  <c r="AH71" i="1"/>
  <c r="AH69" i="1"/>
  <c r="AH67" i="1"/>
  <c r="AI63" i="1"/>
  <c r="AK63" i="1" s="1"/>
  <c r="AH63" i="1"/>
  <c r="AH61" i="1"/>
  <c r="AI57" i="1"/>
  <c r="AK57" i="1" s="1"/>
  <c r="AH57" i="1"/>
  <c r="AI54" i="1"/>
  <c r="AK54" i="1" s="1"/>
  <c r="AH54" i="1"/>
  <c r="AI51" i="1"/>
  <c r="AK51" i="1" s="1"/>
  <c r="AH51" i="1"/>
  <c r="AI46" i="1"/>
  <c r="AK46" i="1" s="1"/>
  <c r="AH46" i="1"/>
  <c r="AH44" i="1"/>
  <c r="AI40" i="1"/>
  <c r="AH40" i="1"/>
  <c r="AI37" i="1"/>
  <c r="AH37" i="1"/>
  <c r="AI33" i="1"/>
  <c r="AH33" i="1"/>
  <c r="AH31" i="1"/>
  <c r="AI28" i="1"/>
  <c r="AH28" i="1"/>
  <c r="AI24" i="1"/>
  <c r="AH24" i="1"/>
  <c r="AH22" i="1"/>
  <c r="AI18" i="1"/>
  <c r="AH18" i="1"/>
  <c r="AI14" i="1"/>
  <c r="AH14" i="1"/>
  <c r="AI10" i="1"/>
  <c r="AH10" i="1"/>
  <c r="AI6" i="1"/>
  <c r="AH6" i="1"/>
  <c r="AI2" i="1"/>
  <c r="AH2" i="1"/>
  <c r="AG124" i="1"/>
  <c r="AG123" i="1"/>
  <c r="AG122" i="1"/>
  <c r="AG125" i="1"/>
  <c r="AI117" i="1" l="1"/>
  <c r="AK117" i="1" s="1"/>
  <c r="AK33" i="1"/>
  <c r="AJ97" i="1"/>
  <c r="AK24" i="1"/>
  <c r="AK97" i="1"/>
  <c r="AK28" i="1"/>
  <c r="AK2" i="1"/>
  <c r="AK6" i="1"/>
  <c r="AK10" i="1"/>
  <c r="AK14" i="1"/>
  <c r="AK18" i="1"/>
  <c r="AK40" i="1"/>
  <c r="AJ82" i="1"/>
  <c r="AH117" i="1"/>
  <c r="AK37" i="1"/>
  <c r="AK82" i="1"/>
  <c r="AJ117" i="1"/>
  <c r="AD46" i="1"/>
  <c r="AF46" i="1" s="1"/>
  <c r="AC46" i="1"/>
  <c r="AE54" i="1" l="1"/>
  <c r="AD54" i="1"/>
  <c r="AF54" i="1" s="1"/>
  <c r="AC54" i="1"/>
  <c r="AT2" i="1" l="1"/>
  <c r="AU2" i="1" s="1"/>
  <c r="AX44" i="1"/>
  <c r="AX31" i="1"/>
  <c r="AX22" i="1"/>
  <c r="AX54" i="1"/>
  <c r="AX61" i="1"/>
  <c r="AX67" i="1"/>
  <c r="AX69" i="1"/>
  <c r="AX71" i="1"/>
  <c r="AX55" i="1"/>
  <c r="AX73" i="1"/>
  <c r="AW78" i="1" l="1"/>
  <c r="AX78" i="1" s="1"/>
  <c r="AW75" i="1"/>
  <c r="AX75" i="1" s="1"/>
  <c r="AW63" i="1"/>
  <c r="AX63" i="1" s="1"/>
  <c r="AW57" i="1"/>
  <c r="AX57" i="1" s="1"/>
  <c r="AW51" i="1"/>
  <c r="AX51" i="1" s="1"/>
  <c r="AW46" i="1"/>
  <c r="AX46" i="1" s="1"/>
  <c r="AW40" i="1"/>
  <c r="AX40" i="1" s="1"/>
  <c r="AW37" i="1"/>
  <c r="AX37" i="1" s="1"/>
  <c r="AW33" i="1"/>
  <c r="AX33" i="1" s="1"/>
  <c r="AW28" i="1"/>
  <c r="AX28" i="1" s="1"/>
  <c r="AW24" i="1"/>
  <c r="AX24" i="1" s="1"/>
  <c r="AW18" i="1"/>
  <c r="AX18" i="1" s="1"/>
  <c r="AW14" i="1"/>
  <c r="AX14" i="1" s="1"/>
  <c r="AW10" i="1"/>
  <c r="AX10" i="1" s="1"/>
  <c r="AW6" i="1"/>
  <c r="AX6" i="1" s="1"/>
  <c r="AW2" i="1"/>
  <c r="AX2" i="1" s="1"/>
  <c r="AV54" i="1"/>
  <c r="AT54" i="1"/>
  <c r="AU54" i="1" s="1"/>
  <c r="AV22" i="1"/>
  <c r="AT22" i="1"/>
  <c r="AV31" i="1"/>
  <c r="AT31" i="1"/>
  <c r="AV28" i="1"/>
  <c r="AT28" i="1"/>
  <c r="AV75" i="1"/>
  <c r="AT75" i="1"/>
  <c r="AV73" i="1"/>
  <c r="AT73" i="1"/>
  <c r="AU73" i="1" s="1"/>
  <c r="AV55" i="1"/>
  <c r="AT55" i="1"/>
  <c r="AU55" i="1" s="1"/>
  <c r="AV71" i="1"/>
  <c r="AT71" i="1"/>
  <c r="AU71" i="1" s="1"/>
  <c r="AV69" i="1"/>
  <c r="AT69" i="1"/>
  <c r="AU69" i="1" s="1"/>
  <c r="AV67" i="1"/>
  <c r="AT67" i="1"/>
  <c r="AU67" i="1" s="1"/>
  <c r="AY75" i="1" l="1"/>
  <c r="AU75" i="1"/>
  <c r="AY31" i="1"/>
  <c r="AU31" i="1"/>
  <c r="AY28" i="1"/>
  <c r="AU28" i="1"/>
  <c r="AY22" i="1"/>
  <c r="AU22" i="1"/>
  <c r="AY54" i="1"/>
  <c r="AY71" i="1"/>
  <c r="AY55" i="1"/>
  <c r="AY73" i="1"/>
  <c r="AY67" i="1"/>
  <c r="AY69" i="1"/>
  <c r="AV51" i="1"/>
  <c r="AV44" i="1"/>
  <c r="AY44" i="1" s="1"/>
  <c r="AT44" i="1"/>
  <c r="AU44" i="1" s="1"/>
  <c r="AV46" i="1"/>
  <c r="AT46" i="1"/>
  <c r="AV61" i="1"/>
  <c r="AT61" i="1"/>
  <c r="AU61" i="1" s="1"/>
  <c r="AT51" i="1"/>
  <c r="AU51" i="1" s="1"/>
  <c r="AV18" i="1"/>
  <c r="AT18" i="1"/>
  <c r="AU18" i="1" s="1"/>
  <c r="AV78" i="1"/>
  <c r="AT78" i="1"/>
  <c r="AU78" i="1" s="1"/>
  <c r="AV63" i="1"/>
  <c r="AT63" i="1"/>
  <c r="AU63" i="1" s="1"/>
  <c r="AV57" i="1"/>
  <c r="AT57" i="1"/>
  <c r="AU57" i="1" s="1"/>
  <c r="AV40" i="1"/>
  <c r="AT40" i="1"/>
  <c r="AU40" i="1" s="1"/>
  <c r="AV2" i="1"/>
  <c r="AY2" i="1" s="1"/>
  <c r="AV10" i="1"/>
  <c r="AV6" i="1"/>
  <c r="AT6" i="1"/>
  <c r="AU6" i="1" s="1"/>
  <c r="AT10" i="1"/>
  <c r="AU10" i="1" s="1"/>
  <c r="AV14" i="1"/>
  <c r="AT14" i="1"/>
  <c r="AU14" i="1" s="1"/>
  <c r="AV24" i="1"/>
  <c r="AT24" i="1"/>
  <c r="AU24" i="1" s="1"/>
  <c r="AV33" i="1"/>
  <c r="AT33" i="1"/>
  <c r="AU33" i="1" s="1"/>
  <c r="AT37" i="1"/>
  <c r="AU37" i="1" s="1"/>
  <c r="AZ2" i="1" l="1"/>
  <c r="AZ44" i="1"/>
  <c r="AZ73" i="1"/>
  <c r="AY46" i="1"/>
  <c r="AU46" i="1"/>
  <c r="AZ55" i="1"/>
  <c r="AZ22" i="1"/>
  <c r="AZ31" i="1"/>
  <c r="AZ69" i="1"/>
  <c r="AZ71" i="1"/>
  <c r="AZ67" i="1"/>
  <c r="AZ54" i="1"/>
  <c r="AZ28" i="1"/>
  <c r="AZ75" i="1"/>
  <c r="AY61" i="1"/>
  <c r="AY51" i="1"/>
  <c r="AY18" i="1"/>
  <c r="AY14" i="1"/>
  <c r="AY63" i="1"/>
  <c r="AY40" i="1"/>
  <c r="AY24" i="1"/>
  <c r="AY78" i="1"/>
  <c r="AY6" i="1"/>
  <c r="AY57" i="1"/>
  <c r="AY33" i="1"/>
  <c r="AY10" i="1"/>
  <c r="AV37" i="1"/>
  <c r="AY37" i="1" s="1"/>
  <c r="AZ33" i="1" l="1"/>
  <c r="AZ78" i="1"/>
  <c r="AZ14" i="1"/>
  <c r="AZ57" i="1"/>
  <c r="AZ24" i="1"/>
  <c r="AZ18" i="1"/>
  <c r="AZ37" i="1"/>
  <c r="AZ40" i="1"/>
  <c r="AZ51" i="1"/>
  <c r="AZ10" i="1"/>
  <c r="AZ6" i="1"/>
  <c r="AZ63" i="1"/>
  <c r="AZ61" i="1"/>
  <c r="AZ46" i="1"/>
  <c r="Y118" i="1"/>
  <c r="Y119" i="1"/>
  <c r="Y120" i="1"/>
  <c r="Y121" i="1"/>
  <c r="Y117" i="1"/>
  <c r="AE46" i="1" l="1"/>
  <c r="AE75" i="1"/>
  <c r="AE51" i="1"/>
  <c r="AE37" i="1"/>
  <c r="AE28" i="1"/>
  <c r="AE10" i="1"/>
  <c r="AE78" i="1"/>
  <c r="AE63" i="1"/>
  <c r="AE57" i="1"/>
  <c r="AE40" i="1"/>
  <c r="AE33" i="1"/>
  <c r="AE24" i="1"/>
  <c r="AE18" i="1"/>
  <c r="AE14" i="1"/>
  <c r="AE6" i="1"/>
  <c r="AE2" i="1"/>
  <c r="Y114" i="1"/>
  <c r="AB114" i="1" s="1"/>
  <c r="AC61" i="1"/>
  <c r="AC44" i="1"/>
  <c r="AD82" i="1"/>
  <c r="AC82" i="1"/>
  <c r="AC73" i="1"/>
  <c r="AC71" i="1"/>
  <c r="AC69" i="1"/>
  <c r="AC67" i="1"/>
  <c r="AC31" i="1"/>
  <c r="AC22" i="1"/>
  <c r="AD75" i="1"/>
  <c r="AC75" i="1"/>
  <c r="AD51" i="1"/>
  <c r="AF51" i="1" s="1"/>
  <c r="AC51" i="1"/>
  <c r="AD37" i="1"/>
  <c r="AF37" i="1" s="1"/>
  <c r="AC37" i="1"/>
  <c r="AD28" i="1"/>
  <c r="AF28" i="1" s="1"/>
  <c r="AC28" i="1"/>
  <c r="AD78" i="1"/>
  <c r="AF78" i="1" s="1"/>
  <c r="AC78" i="1"/>
  <c r="AD63" i="1"/>
  <c r="AF63" i="1" s="1"/>
  <c r="AC63" i="1"/>
  <c r="AD57" i="1"/>
  <c r="AF57" i="1" s="1"/>
  <c r="AC57" i="1"/>
  <c r="AD40" i="1"/>
  <c r="AF40" i="1" s="1"/>
  <c r="AC40" i="1"/>
  <c r="AD33" i="1"/>
  <c r="AF33" i="1" s="1"/>
  <c r="AC33" i="1"/>
  <c r="AD24" i="1"/>
  <c r="AF24" i="1" s="1"/>
  <c r="AC24" i="1"/>
  <c r="AD18" i="1"/>
  <c r="AF18" i="1" s="1"/>
  <c r="AC18" i="1"/>
  <c r="AD14" i="1"/>
  <c r="AF14" i="1" s="1"/>
  <c r="AC14" i="1"/>
  <c r="AD10" i="1"/>
  <c r="AF10" i="1" s="1"/>
  <c r="AC10" i="1"/>
  <c r="AD6" i="1"/>
  <c r="AF6" i="1" s="1"/>
  <c r="AC6" i="1"/>
  <c r="AD2" i="1"/>
  <c r="AF2" i="1" s="1"/>
  <c r="AC2" i="1"/>
  <c r="AB125" i="1"/>
  <c r="AB122" i="1"/>
  <c r="AB123" i="1"/>
  <c r="AB124" i="1"/>
  <c r="AB118" i="1"/>
  <c r="AB119" i="1"/>
  <c r="AB120" i="1"/>
  <c r="AB121" i="1"/>
  <c r="AB117" i="1"/>
  <c r="AC117" i="1" l="1"/>
  <c r="AD117" i="1"/>
  <c r="AF117" i="1" s="1"/>
  <c r="AC97" i="1"/>
  <c r="AD97" i="1"/>
  <c r="AE82" i="1"/>
  <c r="AF82" i="1"/>
  <c r="AF97" i="1" l="1"/>
  <c r="AE97" i="1"/>
  <c r="AE117" i="1"/>
  <c r="Y91" i="1" l="1"/>
  <c r="Y92" i="1"/>
  <c r="Y93" i="1"/>
  <c r="Y94" i="1"/>
  <c r="Y95" i="1"/>
  <c r="Y90" i="1"/>
  <c r="AB94" i="1" l="1"/>
  <c r="AG94" i="1"/>
  <c r="AB90" i="1"/>
  <c r="AD87" i="1" s="1"/>
  <c r="AG90" i="1"/>
  <c r="AB93" i="1"/>
  <c r="AG93" i="1"/>
  <c r="AB92" i="1"/>
  <c r="AG92" i="1"/>
  <c r="AB95" i="1"/>
  <c r="AG95" i="1"/>
  <c r="AB91" i="1"/>
  <c r="AG91" i="1"/>
  <c r="AC87" i="1" l="1"/>
  <c r="AH87" i="1"/>
  <c r="AI87" i="1"/>
  <c r="AE87" i="1"/>
  <c r="AF87" i="1"/>
  <c r="AJ87" i="1" l="1"/>
  <c r="AK87" i="1"/>
</calcChain>
</file>

<file path=xl/sharedStrings.xml><?xml version="1.0" encoding="utf-8"?>
<sst xmlns="http://schemas.openxmlformats.org/spreadsheetml/2006/main" count="468" uniqueCount="215">
  <si>
    <t>filename</t>
  </si>
  <si>
    <t>Sample</t>
  </si>
  <si>
    <t>date</t>
  </si>
  <si>
    <t>Core</t>
  </si>
  <si>
    <t>Species</t>
  </si>
  <si>
    <t>d45</t>
  </si>
  <si>
    <t>d46</t>
  </si>
  <si>
    <t>d47</t>
  </si>
  <si>
    <t>d48</t>
  </si>
  <si>
    <t>d49</t>
  </si>
  <si>
    <t>D45</t>
  </si>
  <si>
    <t>D46</t>
  </si>
  <si>
    <t>D48corr</t>
  </si>
  <si>
    <t>D49corr</t>
  </si>
  <si>
    <t>n</t>
  </si>
  <si>
    <t>MgCa</t>
  </si>
  <si>
    <t>MIRA_181022_5Cprecip.csv</t>
  </si>
  <si>
    <t>5Cprecip</t>
  </si>
  <si>
    <t>MIRA_181030_PPT5.csv</t>
  </si>
  <si>
    <t>MIRA_181106_THC.csv</t>
  </si>
  <si>
    <t>Turkish hydrothermal carbonate</t>
  </si>
  <si>
    <t>THC</t>
  </si>
  <si>
    <t>MIRA_190121_NEAP20B_bull300355</t>
  </si>
  <si>
    <t>NEAP20BG.bulloides</t>
  </si>
  <si>
    <t>NEAP20B</t>
  </si>
  <si>
    <t>G.bulloides</t>
  </si>
  <si>
    <t>MIRA_190122_NEAP20Bbulloides300-355</t>
  </si>
  <si>
    <t>MIRA_190129_NEAP20B_inflata300-355</t>
  </si>
  <si>
    <t>NEAP20BG.inflata</t>
  </si>
  <si>
    <t>G.inflata</t>
  </si>
  <si>
    <t>MIRA_190131_NEAP20B_inflata300-355</t>
  </si>
  <si>
    <t>MIRA_190130_NEAP20B_Gsacc300-355</t>
  </si>
  <si>
    <t>NEAP20BG.sacculifer</t>
  </si>
  <si>
    <t>G.sacculifer</t>
  </si>
  <si>
    <t>MIRA_190201_NEAP20B_sacc300355</t>
  </si>
  <si>
    <t>MIRA_190125_NEAP20B_ruber250300</t>
  </si>
  <si>
    <t>NEAP20BG.ruber</t>
  </si>
  <si>
    <t>G.ruber</t>
  </si>
  <si>
    <t>MIRA_190129_NEAP20B_ruber250300</t>
  </si>
  <si>
    <t>MIRA_190131_NEAP20B_Gruber(w)300-355</t>
  </si>
  <si>
    <t>NEAP20BG.ruber (w)</t>
  </si>
  <si>
    <t>G.ruber (w)</t>
  </si>
  <si>
    <t>MIRA_190121_Rapid26-14Bbulloides300-355</t>
  </si>
  <si>
    <t>Rapid2614BG.bulloides</t>
  </si>
  <si>
    <t>Rapid2614B</t>
  </si>
  <si>
    <t>MIRA_190122_Rapid26-14Bbulloides300-355</t>
  </si>
  <si>
    <t>MIRA_190131_Rapid26-14BNpachy(s)250300</t>
  </si>
  <si>
    <t>Rapid2614BN.pachyderma</t>
  </si>
  <si>
    <t>N.pachyderma</t>
  </si>
  <si>
    <t>MIRA_190123_BOFS31K_sacc300355</t>
  </si>
  <si>
    <t>BOFS31KG.sacculifer</t>
  </si>
  <si>
    <t>BOFS31K</t>
  </si>
  <si>
    <t>MIRA_190124_BOFS31K-sacc300355</t>
  </si>
  <si>
    <t>MIRA_190124_BOFS31K-ruber250300</t>
  </si>
  <si>
    <t>BOFS31KG.ruber</t>
  </si>
  <si>
    <t>MIRA_190130_BOFS31Kruber-250300</t>
  </si>
  <si>
    <t>MIRA_190128_BOFS31K-ruber(w)300355</t>
  </si>
  <si>
    <t>BOFS31KG.ruber (w)</t>
  </si>
  <si>
    <t>MIRA_190130_BOFS31K_Gruber(w)300355</t>
  </si>
  <si>
    <t>MIRA_190125_BOFS31K-Gpachy(d)250300</t>
  </si>
  <si>
    <t>BOFS31KN.incompta</t>
  </si>
  <si>
    <t>N.incompta</t>
  </si>
  <si>
    <t>MIRA_190129_BOFS31K-inflata300355</t>
  </si>
  <si>
    <t>BOFS31KG.inflata</t>
  </si>
  <si>
    <t>MIRA_190131_BOFS31K_inflata300-355</t>
  </si>
  <si>
    <t>MIRA_190130_BOFS31K_bull250300</t>
  </si>
  <si>
    <t>BOFS31KG.bulloides</t>
  </si>
  <si>
    <t>MIRA_190125_NEAP20B_Gpachy(d)250300</t>
  </si>
  <si>
    <t>NEAP20BN.incompta</t>
  </si>
  <si>
    <t>MIRA_190123_MD99-2252bull300355</t>
  </si>
  <si>
    <t>MD992252G.bulloides</t>
  </si>
  <si>
    <t>MD992252</t>
  </si>
  <si>
    <t>MIRA_190128_MD99-2252bull-300355</t>
  </si>
  <si>
    <t>MIRA_190131_MD99-2252Napchy(d)-250300</t>
  </si>
  <si>
    <t>MD992252N.incompta</t>
  </si>
  <si>
    <t>MIRA_190124_NEAP4b_bull300355</t>
  </si>
  <si>
    <t>NEAP4BG.bulloides</t>
  </si>
  <si>
    <t>NEAP4B</t>
  </si>
  <si>
    <t>MIRA_190125_NEAP4b_bull300355</t>
  </si>
  <si>
    <t>MIRA_190124_NEAP16BSSbull300-355</t>
  </si>
  <si>
    <t>NEAP16BG.bulloides</t>
  </si>
  <si>
    <t>NEAP16B</t>
  </si>
  <si>
    <t>MIRA_190125_NEAP16BSS_Npachy(d)250300</t>
  </si>
  <si>
    <t>NEAP16BN.incompta</t>
  </si>
  <si>
    <t>MIRA_190130_NEAP20B_Gpachy(d)250300</t>
  </si>
  <si>
    <t>MIRA_190130_NEAP16BSS_Ginflata300355</t>
  </si>
  <si>
    <t>NEAP16BG.inflata</t>
  </si>
  <si>
    <t>MIRA_190124_NEAP19B_Npachy(d)250300</t>
  </si>
  <si>
    <t>NEAP19BN.incompta</t>
  </si>
  <si>
    <t>NEAP19B</t>
  </si>
  <si>
    <t>MIRA_190130_NEAP19BNpachy(d)-250300</t>
  </si>
  <si>
    <t>MIRA_190129_NEAP19B_inflata300-355</t>
  </si>
  <si>
    <t>NEAP19BG.inflata</t>
  </si>
  <si>
    <t>MIRA_190201_NEAP19Binflata300355</t>
  </si>
  <si>
    <t>MIRA_190124_ueacc</t>
  </si>
  <si>
    <t>UEACC</t>
  </si>
  <si>
    <t>coral</t>
  </si>
  <si>
    <t>MIRA_190121_ueacc</t>
  </si>
  <si>
    <t>MIRA_190131_ueacc</t>
  </si>
  <si>
    <t>MIRA_190128_THC</t>
  </si>
  <si>
    <t>MIRA_190201_THC</t>
  </si>
  <si>
    <t>MIRA_190114_ETH3.csv</t>
  </si>
  <si>
    <t>ETH3</t>
  </si>
  <si>
    <t>ETH3 (measured)</t>
  </si>
  <si>
    <t>MIRA_190115_ETH3.csv</t>
  </si>
  <si>
    <t>MIRA_190116_ETH3.csv</t>
  </si>
  <si>
    <t>MIRA_190117_ETH3.csv</t>
  </si>
  <si>
    <t>MIRA_190118_ETH3</t>
  </si>
  <si>
    <t>MIRA_190122_ETH3</t>
  </si>
  <si>
    <t>MIRA_190124_ETH3</t>
  </si>
  <si>
    <t>MIRA_190129_ETH3</t>
  </si>
  <si>
    <t>MIRA_190305_NEAP20Bbull300355</t>
  </si>
  <si>
    <t>MIRA_190305_NEAP20Btrunc355500</t>
  </si>
  <si>
    <t>NEAP20BG.truncatulinoides</t>
  </si>
  <si>
    <t>G.truncatulinoides</t>
  </si>
  <si>
    <t>MIRA_190305_NEAP20Btrunc355500-2</t>
  </si>
  <si>
    <t>MIRA_190306_NEAP20Btrunc355500</t>
  </si>
  <si>
    <t>MIRA_190304_NEAP20Binflata300355</t>
  </si>
  <si>
    <t>MIRA_190307_NEAP20Bsacc250300</t>
  </si>
  <si>
    <t>MIRA_190304_NEAP20Bruber</t>
  </si>
  <si>
    <t>MIRA_190306_Rapid26-14Bbull250300</t>
  </si>
  <si>
    <t>MIRA_190304_BOFS31Ksacc300355</t>
  </si>
  <si>
    <t>MIRA_190304_BOFS31KGruber(w)300355</t>
  </si>
  <si>
    <t>MIRA_190305_BOFS31Kinflata300355</t>
  </si>
  <si>
    <t>MIRA_190306_BOFS31K_bull250300</t>
  </si>
  <si>
    <t>MIRA_190305_MD992252_bull300355</t>
  </si>
  <si>
    <t>MIRA_190306_NEAP4bbull300355</t>
  </si>
  <si>
    <t>MIRA_190306_NEAP19Binflata300355</t>
  </si>
  <si>
    <t>MIRA_190307_UEACC</t>
  </si>
  <si>
    <t>MIRA_190305_ETH3.csv</t>
  </si>
  <si>
    <t>MIRA_190306_ETH3.csv</t>
  </si>
  <si>
    <t>MIRA_190312_ETH3-1.csv</t>
  </si>
  <si>
    <t>MIRA_190312_ETH3-2.csv</t>
  </si>
  <si>
    <t>MIRA_190313_ETH3.csv</t>
  </si>
  <si>
    <t>MIRA_190314_ETH3.csv</t>
  </si>
  <si>
    <t>MIRA_190315_ETH3.csv</t>
  </si>
  <si>
    <t>MIRA_190318_ETH3.csv</t>
  </si>
  <si>
    <t>MIRA_190320_ETH3</t>
  </si>
  <si>
    <t>MIRA_190322_ETH3</t>
  </si>
  <si>
    <t>MIRA_190326_ETH3</t>
  </si>
  <si>
    <t>MIRA_190527_Rapid26-14B_NPS250300</t>
  </si>
  <si>
    <t>MIRA_190527_Rapid29-18B_NPS200300</t>
  </si>
  <si>
    <t>Rapid2918BN.pachyderma</t>
  </si>
  <si>
    <t>Rapid2918B</t>
  </si>
  <si>
    <t>MIRA_190502_BOFS31K_inflata300355</t>
  </si>
  <si>
    <t>MIRA_190502_NEAP4B_Npachy(d)-250300</t>
  </si>
  <si>
    <t>NEAP4BN.incompta</t>
  </si>
  <si>
    <t>MIRA_190526_5Cprecipitate.csv</t>
  </si>
  <si>
    <t>MIRA_190529_5Cprecip.csv</t>
  </si>
  <si>
    <t>MIRA_190530_5Cprecip.csv</t>
  </si>
  <si>
    <t>MIRA_180405_ueathc_1.csv</t>
  </si>
  <si>
    <t>MIRA_180405_ueathc_2.csv</t>
  </si>
  <si>
    <t>MIRA_180411_ueathc.csv</t>
  </si>
  <si>
    <t>MIRA_180417_THC.csv</t>
  </si>
  <si>
    <t>MIRA_180917_ueathc-1.csv</t>
  </si>
  <si>
    <t>MIRA_180918_ueathc-2.csv</t>
  </si>
  <si>
    <t>MIRA_180306_PPT5-1corr.csv</t>
  </si>
  <si>
    <t>MIRA_180306_PPT5-2corr.csv</t>
  </si>
  <si>
    <t>MIRA_180307_PPT5.csv</t>
  </si>
  <si>
    <t>MIRA_180419_PPT5.csv</t>
  </si>
  <si>
    <t>Size fraction</t>
  </si>
  <si>
    <t>300 - 355</t>
  </si>
  <si>
    <t>250 - 300</t>
  </si>
  <si>
    <t>**Standard error calculated from pooled standard deviation</t>
  </si>
  <si>
    <t>*Where only a single datapoint exists, pooled standard deviation used</t>
  </si>
  <si>
    <t>Notes</t>
  </si>
  <si>
    <t>Insufficient data to correct samples run prior to October 2018.</t>
  </si>
  <si>
    <t>Samples MIRA_190131_MD99-2252Napchy(d)-250300 and MIRA_190527_Rapid29-18B_NPS200300 not included in calibration due to high contamination (elevated D48 and D49 - sit off D47 vs D48 line)</t>
  </si>
  <si>
    <t>TransFgrad</t>
  </si>
  <si>
    <t>TransFint</t>
  </si>
  <si>
    <t>Pressure correction time window</t>
  </si>
  <si>
    <t>Sample barrocell pressure (mbar)</t>
  </si>
  <si>
    <t>R squared pressure correction</t>
  </si>
  <si>
    <t>pressure correction gradiant</t>
  </si>
  <si>
    <r>
      <t xml:space="preserve">Pressure corrected </t>
    </r>
    <r>
      <rPr>
        <sz val="11"/>
        <color theme="1"/>
        <rFont val="Calibri"/>
        <family val="2"/>
      </rPr>
      <t>Δ47 (LRF)</t>
    </r>
  </si>
  <si>
    <t>Δ47 ARF</t>
  </si>
  <si>
    <t>Δ47 Average</t>
  </si>
  <si>
    <t>Δ47 SD*</t>
  </si>
  <si>
    <t>Δ47 standard error**</t>
  </si>
  <si>
    <t>Δ47 95% confidence</t>
  </si>
  <si>
    <t>D47 (LRF)</t>
  </si>
  <si>
    <t>Barker &amp; Elderfield (2002)</t>
  </si>
  <si>
    <t>World Ocean Atlas Temperature (1994)</t>
  </si>
  <si>
    <t>WOA temp error</t>
  </si>
  <si>
    <t>Mg/Ca temperature calibration reference</t>
  </si>
  <si>
    <t>Thornalley et al (2008)</t>
  </si>
  <si>
    <t>Kozdon et al (2009)</t>
  </si>
  <si>
    <t>Anand et al - species specific (2003)</t>
  </si>
  <si>
    <t>Elderfield et al-all species (2002 )</t>
  </si>
  <si>
    <t>Anand et al - multi species (2003)</t>
  </si>
  <si>
    <t>Elderfield &amp; Ganssen - species specific (2000)</t>
  </si>
  <si>
    <t>Cleroux et al - species specific (2008)</t>
  </si>
  <si>
    <t>Mg/Ca temp</t>
  </si>
  <si>
    <t>Mg/Ca Temp error</t>
  </si>
  <si>
    <t>Isotopic temperature</t>
  </si>
  <si>
    <t>d13cvpdb</t>
  </si>
  <si>
    <t>d18ovsmow</t>
  </si>
  <si>
    <t>Salinity (WOA 1994)</t>
  </si>
  <si>
    <t>d18O foram (average, VPDB)</t>
  </si>
  <si>
    <t>d18ovpdb</t>
  </si>
  <si>
    <t>d18O seawater</t>
  </si>
  <si>
    <t>Salinity unceratinty</t>
  </si>
  <si>
    <t>d18O foram stdev*</t>
  </si>
  <si>
    <t>d18O foram st_err</t>
  </si>
  <si>
    <t>d18O seawater error</t>
  </si>
  <si>
    <t>Isotopic temperature error</t>
  </si>
  <si>
    <t>Poor control over size correction (R^2 &lt;0.8) for samples  MIRA_181022_5Cprecip.csv and MIRA_181030_PPT5.csv. Therefore these samples have been excluded from average calculations</t>
  </si>
  <si>
    <t>Samples MIRA_190502_BOFS31K_inflata300355 and MIRA_190129_NEAP20B_inflata300-355 removed from averages caluclation as exhibits signature of fractionation in d47 signal</t>
  </si>
  <si>
    <t>Δ47_bern ARF</t>
  </si>
  <si>
    <t>Δ47_bern Average</t>
  </si>
  <si>
    <t>Δ47_bern_SD*</t>
  </si>
  <si>
    <t>Δ47_bern standard error**</t>
  </si>
  <si>
    <t>Δ47_bern 95% confidence</t>
  </si>
  <si>
    <t>Bernasconi pooled SD 0.073</t>
  </si>
  <si>
    <t>UEA methodology pooled standard deviation = 0.0337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</si>
</sst>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73AFB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5">
    <xf numFmtId="0" fontId="0" fillId="0" borderId="0" xfId="0"/>
    <xf numFmtId="14" fontId="0" fillId="0" borderId="0" xfId="0" applyNumberFormat="1"/>
    <xf numFmtId="0" fontId="14" fillId="0" borderId="0" xfId="0" applyFont="1" applyFill="1"/>
    <xf numFmtId="14" fontId="14" fillId="0" borderId="0" xfId="0" applyNumberFormat="1" applyFont="1" applyFill="1"/>
    <xf numFmtId="0" fontId="18" fillId="0" borderId="0" xfId="0" applyFont="1" applyFill="1"/>
    <xf numFmtId="0" fontId="18" fillId="0" borderId="0" xfId="0" applyFont="1"/>
    <xf numFmtId="14" fontId="18" fillId="0" borderId="0" xfId="0" applyNumberFormat="1" applyFont="1"/>
    <xf numFmtId="0" fontId="14" fillId="0" borderId="0" xfId="0" applyFont="1"/>
    <xf numFmtId="14" fontId="14" fillId="0" borderId="0" xfId="0" applyNumberFormat="1" applyFont="1"/>
    <xf numFmtId="0" fontId="0" fillId="34" borderId="0" xfId="0" applyFill="1"/>
    <xf numFmtId="0" fontId="14" fillId="34" borderId="0" xfId="0" applyFont="1" applyFill="1"/>
    <xf numFmtId="0" fontId="18" fillId="34" borderId="0" xfId="0" applyFont="1" applyFill="1"/>
    <xf numFmtId="2" fontId="0" fillId="34" borderId="0" xfId="0" applyNumberFormat="1" applyFill="1"/>
    <xf numFmtId="2" fontId="14" fillId="34" borderId="0" xfId="0" applyNumberFormat="1" applyFont="1" applyFill="1"/>
    <xf numFmtId="2" fontId="18" fillId="34" borderId="0" xfId="0" applyNumberFormat="1" applyFont="1" applyFill="1"/>
    <xf numFmtId="0" fontId="0" fillId="35" borderId="0" xfId="0" applyFill="1"/>
    <xf numFmtId="0" fontId="14" fillId="35" borderId="0" xfId="0" applyFont="1" applyFill="1"/>
    <xf numFmtId="0" fontId="18" fillId="35" borderId="0" xfId="0" applyFont="1" applyFill="1"/>
    <xf numFmtId="0" fontId="0" fillId="36" borderId="0" xfId="0" applyFill="1"/>
    <xf numFmtId="0" fontId="14" fillId="36" borderId="0" xfId="0" applyFont="1" applyFill="1"/>
    <xf numFmtId="0" fontId="18" fillId="36" borderId="0" xfId="0" applyFont="1" applyFill="1"/>
    <xf numFmtId="0" fontId="0" fillId="35" borderId="0" xfId="0" applyFill="1" applyAlignment="1">
      <alignment wrapText="1"/>
    </xf>
    <xf numFmtId="2" fontId="0" fillId="37" borderId="0" xfId="0" applyNumberFormat="1" applyFill="1"/>
    <xf numFmtId="2" fontId="14" fillId="37" borderId="0" xfId="0" applyNumberFormat="1" applyFont="1" applyFill="1"/>
    <xf numFmtId="2" fontId="18" fillId="37" borderId="0" xfId="0" applyNumberFormat="1" applyFont="1" applyFill="1"/>
    <xf numFmtId="164" fontId="0" fillId="33" borderId="0" xfId="0" applyNumberFormat="1" applyFill="1"/>
    <xf numFmtId="164" fontId="16" fillId="33" borderId="11" xfId="0" applyNumberFormat="1" applyFont="1" applyFill="1" applyBorder="1"/>
    <xf numFmtId="164" fontId="20" fillId="33" borderId="11" xfId="0" applyNumberFormat="1" applyFont="1" applyFill="1" applyBorder="1"/>
    <xf numFmtId="164" fontId="14" fillId="33" borderId="0" xfId="0" applyNumberFormat="1" applyFont="1" applyFill="1"/>
    <xf numFmtId="164" fontId="21" fillId="33" borderId="11" xfId="0" applyNumberFormat="1" applyFont="1" applyFill="1" applyBorder="1"/>
    <xf numFmtId="164" fontId="18" fillId="33" borderId="0" xfId="0" applyNumberFormat="1" applyFont="1" applyFill="1"/>
    <xf numFmtId="164" fontId="21" fillId="33" borderId="12" xfId="0" applyNumberFormat="1" applyFont="1" applyFill="1" applyBorder="1"/>
    <xf numFmtId="164" fontId="16" fillId="0" borderId="0" xfId="0" applyNumberFormat="1" applyFont="1"/>
    <xf numFmtId="164" fontId="0" fillId="0" borderId="0" xfId="0" applyNumberFormat="1"/>
    <xf numFmtId="164" fontId="0" fillId="34" borderId="0" xfId="0" applyNumberFormat="1" applyFill="1"/>
    <xf numFmtId="164" fontId="14" fillId="34" borderId="0" xfId="0" applyNumberFormat="1" applyFont="1" applyFill="1"/>
    <xf numFmtId="164" fontId="18" fillId="34" borderId="0" xfId="0" applyNumberFormat="1" applyFont="1" applyFill="1"/>
    <xf numFmtId="164" fontId="0" fillId="0" borderId="0" xfId="0" applyNumberFormat="1" applyFill="1"/>
    <xf numFmtId="164" fontId="14" fillId="0" borderId="0" xfId="0" applyNumberFormat="1" applyFont="1" applyFill="1"/>
    <xf numFmtId="164" fontId="14" fillId="0" borderId="0" xfId="0" applyNumberFormat="1" applyFont="1"/>
    <xf numFmtId="164" fontId="18" fillId="0" borderId="0" xfId="0" applyNumberFormat="1" applyFont="1"/>
    <xf numFmtId="164" fontId="18" fillId="0" borderId="0" xfId="0" applyNumberFormat="1" applyFont="1" applyFill="1"/>
    <xf numFmtId="0" fontId="0" fillId="0" borderId="0" xfId="0" applyNumberFormat="1" applyAlignment="1">
      <alignment wrapText="1"/>
    </xf>
    <xf numFmtId="0" fontId="0" fillId="0" borderId="0" xfId="0" applyNumberFormat="1" applyFill="1" applyAlignment="1">
      <alignment wrapText="1"/>
    </xf>
    <xf numFmtId="0" fontId="0" fillId="34" borderId="0" xfId="0" applyNumberFormat="1" applyFill="1" applyAlignment="1">
      <alignment wrapText="1"/>
    </xf>
    <xf numFmtId="0" fontId="0" fillId="33" borderId="0" xfId="0" applyNumberFormat="1" applyFill="1" applyAlignment="1">
      <alignment wrapText="1"/>
    </xf>
    <xf numFmtId="0" fontId="16" fillId="33" borderId="10" xfId="0" applyNumberFormat="1" applyFont="1" applyFill="1" applyBorder="1" applyAlignment="1">
      <alignment wrapText="1"/>
    </xf>
    <xf numFmtId="0" fontId="0" fillId="36" borderId="0" xfId="0" applyNumberFormat="1" applyFill="1" applyAlignment="1">
      <alignment wrapText="1"/>
    </xf>
    <xf numFmtId="0" fontId="0" fillId="35" borderId="0" xfId="0" applyNumberFormat="1" applyFill="1" applyAlignment="1">
      <alignment wrapText="1"/>
    </xf>
    <xf numFmtId="0" fontId="0" fillId="37" borderId="0" xfId="0" applyNumberFormat="1" applyFill="1" applyAlignment="1">
      <alignment wrapText="1"/>
    </xf>
    <xf numFmtId="2" fontId="0" fillId="37" borderId="0" xfId="0" applyNumberFormat="1" applyFill="1" applyAlignment="1">
      <alignment wrapText="1"/>
    </xf>
    <xf numFmtId="0" fontId="0" fillId="37" borderId="0" xfId="0" applyFill="1"/>
    <xf numFmtId="0" fontId="14" fillId="37" borderId="0" xfId="0" applyFont="1" applyFill="1"/>
    <xf numFmtId="0" fontId="18" fillId="37" borderId="0" xfId="0" applyFont="1" applyFill="1"/>
    <xf numFmtId="0" fontId="16" fillId="36" borderId="0" xfId="0" applyNumberFormat="1" applyFont="1" applyFill="1" applyAlignment="1">
      <alignment wrapText="1"/>
    </xf>
    <xf numFmtId="0" fontId="16" fillId="36" borderId="0" xfId="0" applyFont="1" applyFill="1"/>
    <xf numFmtId="0" fontId="20" fillId="36" borderId="0" xfId="0" applyFont="1" applyFill="1"/>
    <xf numFmtId="0" fontId="21" fillId="36" borderId="0" xfId="0" applyFont="1" applyFill="1"/>
    <xf numFmtId="0" fontId="16" fillId="0" borderId="0" xfId="0" applyFont="1"/>
    <xf numFmtId="2" fontId="16" fillId="37" borderId="0" xfId="0" applyNumberFormat="1" applyFont="1" applyFill="1" applyAlignment="1">
      <alignment wrapText="1"/>
    </xf>
    <xf numFmtId="2" fontId="16" fillId="37" borderId="0" xfId="0" applyNumberFormat="1" applyFont="1" applyFill="1"/>
    <xf numFmtId="2" fontId="20" fillId="37" borderId="0" xfId="0" applyNumberFormat="1" applyFont="1" applyFill="1"/>
    <xf numFmtId="2" fontId="21" fillId="37" borderId="0" xfId="0" applyNumberFormat="1" applyFont="1" applyFill="1"/>
    <xf numFmtId="0" fontId="0" fillId="38" borderId="0" xfId="0" applyNumberFormat="1" applyFill="1" applyAlignment="1">
      <alignment wrapText="1"/>
    </xf>
    <xf numFmtId="164" fontId="0" fillId="38" borderId="0" xfId="0" applyNumberFormat="1" applyFill="1"/>
    <xf numFmtId="164" fontId="14" fillId="38" borderId="0" xfId="0" applyNumberFormat="1" applyFont="1" applyFill="1"/>
    <xf numFmtId="164" fontId="18" fillId="38" borderId="0" xfId="0" applyNumberFormat="1" applyFont="1" applyFill="1"/>
    <xf numFmtId="0" fontId="16" fillId="38" borderId="0" xfId="0" applyNumberFormat="1" applyFont="1" applyFill="1" applyAlignment="1">
      <alignment wrapText="1"/>
    </xf>
    <xf numFmtId="164" fontId="16" fillId="38" borderId="0" xfId="0" applyNumberFormat="1" applyFont="1" applyFill="1"/>
    <xf numFmtId="164" fontId="20" fillId="38" borderId="0" xfId="0" applyNumberFormat="1" applyFont="1" applyFill="1"/>
    <xf numFmtId="164" fontId="21" fillId="38" borderId="0" xfId="0" applyNumberFormat="1" applyFont="1" applyFill="1"/>
    <xf numFmtId="164" fontId="16" fillId="38" borderId="11" xfId="0" applyNumberFormat="1" applyFont="1" applyFill="1" applyBorder="1"/>
    <xf numFmtId="164" fontId="16" fillId="38" borderId="12" xfId="0" applyNumberFormat="1" applyFont="1" applyFill="1" applyBorder="1"/>
    <xf numFmtId="164" fontId="16" fillId="38" borderId="10" xfId="0" applyNumberFormat="1" applyFont="1" applyFill="1" applyBorder="1" applyAlignment="1">
      <alignment wrapText="1"/>
    </xf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73AF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25"/>
  <sheetViews>
    <sheetView tabSelected="1" workbookViewId="0">
      <pane xSplit="1" topLeftCell="B1" activePane="topRight" state="frozen"/>
      <selection pane="topRight" activeCell="AY12" sqref="AY12"/>
    </sheetView>
  </sheetViews>
  <sheetFormatPr defaultRowHeight="15" x14ac:dyDescent="0.25"/>
  <cols>
    <col min="1" max="1" width="37.42578125" customWidth="1"/>
    <col min="2" max="2" width="21.140625" customWidth="1"/>
    <col min="3" max="3" width="10.7109375" bestFit="1" customWidth="1"/>
    <col min="5" max="5" width="18.7109375" customWidth="1"/>
    <col min="6" max="6" width="17.140625" customWidth="1"/>
    <col min="7" max="13" width="9.28515625" style="33" bestFit="1" customWidth="1"/>
    <col min="14" max="14" width="12" style="33" customWidth="1"/>
    <col min="15" max="16" width="9.28515625" style="33" bestFit="1" customWidth="1"/>
    <col min="17" max="17" width="9.28515625" style="37" bestFit="1" customWidth="1"/>
    <col min="18" max="19" width="9.28515625" style="33" bestFit="1" customWidth="1"/>
    <col min="20" max="20" width="16.7109375" customWidth="1"/>
    <col min="21" max="21" width="14.85546875" style="33" customWidth="1"/>
    <col min="22" max="22" width="9.28515625" bestFit="1" customWidth="1"/>
    <col min="23" max="23" width="9.28515625" style="33" bestFit="1" customWidth="1"/>
    <col min="24" max="24" width="9.28515625" bestFit="1" customWidth="1"/>
    <col min="25" max="25" width="17.7109375" style="37" customWidth="1"/>
    <col min="26" max="26" width="10.42578125" style="33" customWidth="1"/>
    <col min="27" max="27" width="9.28515625" style="33" bestFit="1" customWidth="1"/>
    <col min="28" max="28" width="9.28515625" style="32" bestFit="1" customWidth="1"/>
    <col min="29" max="30" width="9.28515625" style="33" bestFit="1" customWidth="1"/>
    <col min="31" max="31" width="11.85546875" style="33" customWidth="1"/>
    <col min="32" max="32" width="14" style="33" customWidth="1"/>
    <col min="33" max="34" width="14" style="32" customWidth="1"/>
    <col min="35" max="37" width="14" style="33" customWidth="1"/>
    <col min="38" max="38" width="21.28515625" style="58" customWidth="1"/>
    <col min="39" max="39" width="21.28515625" customWidth="1"/>
    <col min="40" max="40" width="9.28515625" bestFit="1" customWidth="1"/>
    <col min="41" max="41" width="31" customWidth="1"/>
    <col min="42" max="42" width="12.140625" customWidth="1"/>
    <col min="43" max="43" width="9.28515625" bestFit="1" customWidth="1"/>
    <col min="44" max="45" width="14.42578125" style="51" customWidth="1"/>
    <col min="46" max="50" width="14.42578125" style="22" customWidth="1"/>
    <col min="51" max="51" width="14.42578125" style="60" customWidth="1"/>
    <col min="52" max="52" width="14.42578125" style="22" customWidth="1"/>
  </cols>
  <sheetData>
    <row r="1" spans="1:52" s="42" customFormat="1" ht="60" x14ac:dyDescent="0.25">
      <c r="A1" s="42" t="s">
        <v>0</v>
      </c>
      <c r="B1" s="42" t="s">
        <v>1</v>
      </c>
      <c r="C1" s="42" t="s">
        <v>2</v>
      </c>
      <c r="D1" s="42" t="s">
        <v>3</v>
      </c>
      <c r="E1" s="42" t="s">
        <v>4</v>
      </c>
      <c r="F1" s="42" t="s">
        <v>160</v>
      </c>
      <c r="G1" s="42" t="s">
        <v>5</v>
      </c>
      <c r="H1" s="42" t="s">
        <v>6</v>
      </c>
      <c r="I1" s="42" t="s">
        <v>7</v>
      </c>
      <c r="J1" s="42" t="s">
        <v>8</v>
      </c>
      <c r="K1" s="42" t="s">
        <v>9</v>
      </c>
      <c r="L1" s="42" t="s">
        <v>195</v>
      </c>
      <c r="M1" s="42" t="s">
        <v>196</v>
      </c>
      <c r="N1" s="42" t="s">
        <v>199</v>
      </c>
      <c r="O1" s="42" t="s">
        <v>10</v>
      </c>
      <c r="P1" s="42" t="s">
        <v>11</v>
      </c>
      <c r="Q1" s="43" t="s">
        <v>180</v>
      </c>
      <c r="R1" s="42" t="s">
        <v>12</v>
      </c>
      <c r="S1" s="42" t="s">
        <v>13</v>
      </c>
      <c r="T1" s="44" t="s">
        <v>171</v>
      </c>
      <c r="U1" s="44" t="s">
        <v>172</v>
      </c>
      <c r="V1" s="44" t="s">
        <v>170</v>
      </c>
      <c r="W1" s="44" t="s">
        <v>173</v>
      </c>
      <c r="X1" s="44" t="s">
        <v>14</v>
      </c>
      <c r="Y1" s="44" t="s">
        <v>174</v>
      </c>
      <c r="Z1" s="45" t="s">
        <v>168</v>
      </c>
      <c r="AA1" s="45" t="s">
        <v>169</v>
      </c>
      <c r="AB1" s="46" t="s">
        <v>175</v>
      </c>
      <c r="AC1" s="45" t="s">
        <v>176</v>
      </c>
      <c r="AD1" s="45" t="s">
        <v>177</v>
      </c>
      <c r="AE1" s="45" t="s">
        <v>178</v>
      </c>
      <c r="AF1" s="45" t="s">
        <v>179</v>
      </c>
      <c r="AG1" s="73" t="s">
        <v>208</v>
      </c>
      <c r="AH1" s="67" t="s">
        <v>209</v>
      </c>
      <c r="AI1" s="63" t="s">
        <v>210</v>
      </c>
      <c r="AJ1" s="63" t="s">
        <v>211</v>
      </c>
      <c r="AK1" s="63" t="s">
        <v>212</v>
      </c>
      <c r="AL1" s="54" t="s">
        <v>182</v>
      </c>
      <c r="AM1" s="47" t="s">
        <v>183</v>
      </c>
      <c r="AN1" s="48" t="s">
        <v>15</v>
      </c>
      <c r="AO1" s="48" t="s">
        <v>184</v>
      </c>
      <c r="AP1" s="48" t="s">
        <v>192</v>
      </c>
      <c r="AQ1" s="48" t="s">
        <v>193</v>
      </c>
      <c r="AR1" s="49" t="s">
        <v>197</v>
      </c>
      <c r="AS1" s="49" t="s">
        <v>201</v>
      </c>
      <c r="AT1" s="50" t="s">
        <v>200</v>
      </c>
      <c r="AU1" s="50" t="s">
        <v>204</v>
      </c>
      <c r="AV1" s="50" t="s">
        <v>198</v>
      </c>
      <c r="AW1" s="50" t="s">
        <v>202</v>
      </c>
      <c r="AX1" s="50" t="s">
        <v>203</v>
      </c>
      <c r="AY1" s="59" t="s">
        <v>194</v>
      </c>
      <c r="AZ1" s="50" t="s">
        <v>205</v>
      </c>
    </row>
    <row r="2" spans="1:52" x14ac:dyDescent="0.25">
      <c r="A2" t="s">
        <v>22</v>
      </c>
      <c r="B2" t="s">
        <v>23</v>
      </c>
      <c r="C2" s="1">
        <v>43486</v>
      </c>
      <c r="D2" t="s">
        <v>24</v>
      </c>
      <c r="E2" t="s">
        <v>25</v>
      </c>
      <c r="F2" t="s">
        <v>161</v>
      </c>
      <c r="G2" s="33">
        <v>-2.3709800570000001</v>
      </c>
      <c r="H2" s="33">
        <v>3.9821310419999998</v>
      </c>
      <c r="I2" s="33">
        <v>1.3787049469999999</v>
      </c>
      <c r="J2" s="33">
        <v>7.8854083409999998</v>
      </c>
      <c r="K2" s="33">
        <v>-2.6070649509999999</v>
      </c>
      <c r="L2" s="33">
        <v>-0.63472701200000003</v>
      </c>
      <c r="M2" s="33">
        <v>39.833279529999999</v>
      </c>
      <c r="N2" s="33">
        <v>0.44102824754713765</v>
      </c>
      <c r="O2" s="33">
        <v>0</v>
      </c>
      <c r="P2" s="33">
        <v>0</v>
      </c>
      <c r="Q2" s="37">
        <v>-8.0586695999999999E-2</v>
      </c>
      <c r="R2" s="33">
        <v>-9.3984507999999994E-2</v>
      </c>
      <c r="S2" s="33">
        <v>-7.8592647080000004</v>
      </c>
      <c r="T2" s="9">
        <v>43.8</v>
      </c>
      <c r="U2" s="34">
        <v>0.97374777099999998</v>
      </c>
      <c r="V2" s="9">
        <v>8</v>
      </c>
      <c r="W2" s="34">
        <v>10.82834557</v>
      </c>
      <c r="X2" s="9">
        <v>6</v>
      </c>
      <c r="Y2" s="34">
        <v>-0.32780919800000002</v>
      </c>
      <c r="Z2" s="25">
        <v>1.0870752770000001</v>
      </c>
      <c r="AA2" s="25">
        <v>0.92198510199999995</v>
      </c>
      <c r="AB2" s="26">
        <v>0.62763182728100197</v>
      </c>
      <c r="AC2" s="25">
        <f>AVERAGE(AB2:AB4)</f>
        <v>0.64642510818709298</v>
      </c>
      <c r="AD2" s="25">
        <f>STDEV(AB2:AB4)</f>
        <v>2.2889780849212595E-2</v>
      </c>
      <c r="AE2" s="25">
        <f>0.0337/SQRT(3)</f>
        <v>1.9456704071690391E-2</v>
      </c>
      <c r="AF2" s="25">
        <f>_xlfn.CONFIDENCE.T(0.05,AD2,3)</f>
        <v>5.6861367821229525E-2</v>
      </c>
      <c r="AG2" s="71">
        <v>0.66402784960100003</v>
      </c>
      <c r="AH2" s="68">
        <f>AVERAGE(AG2:AG4)</f>
        <v>0.6855095461059334</v>
      </c>
      <c r="AI2" s="64">
        <f>STDEV(AG2:AG4)</f>
        <v>2.6497764679808231E-2</v>
      </c>
      <c r="AJ2" s="64">
        <f>0.0732/SQRT(3)</f>
        <v>4.2262039704680607E-2</v>
      </c>
      <c r="AK2" s="64">
        <f>_xlfn.CONFIDENCE.T(0.05,AI2,3)</f>
        <v>6.5824096518197567E-2</v>
      </c>
      <c r="AL2" s="55">
        <v>15.7</v>
      </c>
      <c r="AM2" s="18">
        <v>1.5</v>
      </c>
      <c r="AN2" s="15">
        <v>2.88</v>
      </c>
      <c r="AO2" s="15" t="s">
        <v>191</v>
      </c>
      <c r="AP2" s="15">
        <v>15.9</v>
      </c>
      <c r="AQ2" s="15">
        <v>2.2000000000000002</v>
      </c>
      <c r="AR2" s="51">
        <v>34.020000000000003</v>
      </c>
      <c r="AS2" s="51">
        <v>0.1</v>
      </c>
      <c r="AT2" s="22">
        <f>-19.264+0.558*AR2</f>
        <v>-0.28083999999999421</v>
      </c>
      <c r="AU2" s="22">
        <f>AT2-(-19.264+0.558*(AR2+AS2))</f>
        <v>-5.5799999999997851E-2</v>
      </c>
      <c r="AV2" s="22">
        <f>AVERAGE(N2:N4)</f>
        <v>0.48100072762182816</v>
      </c>
      <c r="AW2" s="22">
        <f>STDEV(N2:N4)</f>
        <v>3.7166391927337859E-2</v>
      </c>
      <c r="AX2" s="22">
        <f>AW2/SQRT(3)</f>
        <v>2.145802638405565E-2</v>
      </c>
      <c r="AY2" s="60">
        <f>16.8-(4.38*(AV2-AT2))+(0.1*(AV2-AT2)^2)</f>
        <v>13.521177742442752</v>
      </c>
      <c r="AZ2" s="22">
        <f>AY2-(16.8-(4.38*(AV2+AX2-AT2-AU2))+(0.1*(AV2-AX2-AT2+AU2)^2))</f>
        <v>0.34956493750508777</v>
      </c>
    </row>
    <row r="3" spans="1:52" x14ac:dyDescent="0.25">
      <c r="A3" t="s">
        <v>26</v>
      </c>
      <c r="B3" t="s">
        <v>23</v>
      </c>
      <c r="C3" s="1">
        <v>43487</v>
      </c>
      <c r="D3" t="s">
        <v>24</v>
      </c>
      <c r="E3" t="s">
        <v>25</v>
      </c>
      <c r="F3" t="s">
        <v>161</v>
      </c>
      <c r="G3" s="33">
        <v>-2.3199637929999999</v>
      </c>
      <c r="H3" s="33">
        <v>4.0559142970000002</v>
      </c>
      <c r="I3" s="33">
        <v>1.51499724</v>
      </c>
      <c r="J3" s="33">
        <v>8.0278287279999994</v>
      </c>
      <c r="K3" s="33">
        <v>16.582364859999998</v>
      </c>
      <c r="L3" s="33">
        <v>-0.58275392199999998</v>
      </c>
      <c r="M3" s="33">
        <v>39.909659490000003</v>
      </c>
      <c r="N3" s="33">
        <v>0.51451439595894044</v>
      </c>
      <c r="O3" s="33">
        <v>0</v>
      </c>
      <c r="P3" s="33">
        <v>0</v>
      </c>
      <c r="Q3" s="37">
        <v>-6.9499379999999999E-2</v>
      </c>
      <c r="R3" s="33">
        <v>-9.9663168999999996E-2</v>
      </c>
      <c r="S3" s="33">
        <v>11.027993950000001</v>
      </c>
      <c r="T3" s="9">
        <v>41.5</v>
      </c>
      <c r="U3" s="34">
        <v>0.97989193399999996</v>
      </c>
      <c r="V3" s="9">
        <v>11</v>
      </c>
      <c r="W3" s="34">
        <v>10.258126730000001</v>
      </c>
      <c r="X3" s="9">
        <v>6</v>
      </c>
      <c r="Y3" s="34">
        <v>-0.31668315699999999</v>
      </c>
      <c r="Z3" s="25">
        <v>1.0870752770000001</v>
      </c>
      <c r="AA3" s="25">
        <v>0.92198510199999995</v>
      </c>
      <c r="AB3" s="26">
        <v>0.639726671382991</v>
      </c>
      <c r="AC3" s="25"/>
      <c r="AD3" s="25"/>
      <c r="AE3" s="25"/>
      <c r="AF3" s="25"/>
      <c r="AG3" s="71">
        <v>0.67738152927649997</v>
      </c>
      <c r="AH3" s="68"/>
      <c r="AI3" s="64"/>
      <c r="AJ3" s="64"/>
      <c r="AK3" s="64"/>
      <c r="AL3" s="55"/>
      <c r="AM3" s="18"/>
      <c r="AN3" s="15"/>
      <c r="AO3" s="15"/>
      <c r="AP3" s="15"/>
      <c r="AQ3" s="15"/>
    </row>
    <row r="4" spans="1:52" x14ac:dyDescent="0.25">
      <c r="A4" t="s">
        <v>111</v>
      </c>
      <c r="B4" t="s">
        <v>23</v>
      </c>
      <c r="C4" s="1">
        <v>43529</v>
      </c>
      <c r="D4" t="s">
        <v>24</v>
      </c>
      <c r="E4" t="s">
        <v>25</v>
      </c>
      <c r="F4" t="s">
        <v>161</v>
      </c>
      <c r="G4" s="33">
        <v>-2.283909516</v>
      </c>
      <c r="H4" s="33">
        <v>4.0288741119999996</v>
      </c>
      <c r="I4" s="33">
        <v>1.5285823080000001</v>
      </c>
      <c r="J4" s="33">
        <v>7.9837462500000003</v>
      </c>
      <c r="K4" s="33">
        <v>11.15970834</v>
      </c>
      <c r="L4" s="33">
        <v>-0.54309444500000004</v>
      </c>
      <c r="M4" s="33">
        <v>39.881539240000002</v>
      </c>
      <c r="N4" s="33">
        <v>0.48745953935940634</v>
      </c>
      <c r="O4" s="33">
        <v>0</v>
      </c>
      <c r="P4" s="33">
        <v>0</v>
      </c>
      <c r="Q4" s="37">
        <v>-6.6743201000000002E-2</v>
      </c>
      <c r="R4" s="33">
        <v>-8.9533514999999994E-2</v>
      </c>
      <c r="S4" s="33">
        <v>5.6494478370000003</v>
      </c>
      <c r="T4" s="9">
        <v>40.4</v>
      </c>
      <c r="U4" s="34">
        <v>0.98488563299999998</v>
      </c>
      <c r="V4" s="9">
        <v>86</v>
      </c>
      <c r="W4" s="34">
        <v>9.2890589840000004</v>
      </c>
      <c r="X4" s="9">
        <v>6</v>
      </c>
      <c r="Y4" s="34">
        <v>-0.296670404</v>
      </c>
      <c r="Z4" s="25">
        <v>1.0882909510000001</v>
      </c>
      <c r="AA4" s="25">
        <v>0.93278054200000005</v>
      </c>
      <c r="AB4" s="26">
        <v>0.67191682589728596</v>
      </c>
      <c r="AC4" s="25"/>
      <c r="AD4" s="25"/>
      <c r="AE4" s="25"/>
      <c r="AF4" s="25"/>
      <c r="AG4" s="71">
        <v>0.71511925944029997</v>
      </c>
      <c r="AH4" s="68"/>
      <c r="AI4" s="64"/>
      <c r="AJ4" s="64"/>
      <c r="AK4" s="64"/>
      <c r="AL4" s="55"/>
      <c r="AM4" s="18"/>
      <c r="AN4" s="15"/>
      <c r="AO4" s="15"/>
      <c r="AP4" s="15"/>
      <c r="AQ4" s="15"/>
    </row>
    <row r="5" spans="1:52" x14ac:dyDescent="0.25">
      <c r="C5" s="1"/>
      <c r="T5" s="9"/>
      <c r="U5" s="34"/>
      <c r="V5" s="9"/>
      <c r="W5" s="34"/>
      <c r="X5" s="9"/>
      <c r="Y5" s="34"/>
      <c r="Z5" s="25"/>
      <c r="AA5" s="25"/>
      <c r="AB5" s="26"/>
      <c r="AC5" s="25"/>
      <c r="AD5" s="25"/>
      <c r="AE5" s="25"/>
      <c r="AF5" s="25"/>
      <c r="AG5" s="71"/>
      <c r="AH5" s="68"/>
      <c r="AI5" s="64"/>
      <c r="AJ5" s="64"/>
      <c r="AK5" s="64"/>
      <c r="AL5" s="55"/>
      <c r="AM5" s="18"/>
      <c r="AN5" s="15"/>
      <c r="AO5" s="15"/>
      <c r="AP5" s="15"/>
      <c r="AQ5" s="15"/>
    </row>
    <row r="6" spans="1:52" x14ac:dyDescent="0.25">
      <c r="A6" t="s">
        <v>112</v>
      </c>
      <c r="B6" t="s">
        <v>113</v>
      </c>
      <c r="C6" s="1">
        <v>43529</v>
      </c>
      <c r="D6" t="s">
        <v>24</v>
      </c>
      <c r="E6" t="s">
        <v>114</v>
      </c>
      <c r="F6" t="s">
        <v>161</v>
      </c>
      <c r="G6" s="33">
        <v>-0.86986480700000002</v>
      </c>
      <c r="H6" s="33">
        <v>4.5382879760000003</v>
      </c>
      <c r="I6" s="33">
        <v>3.5265297069999999</v>
      </c>
      <c r="J6" s="33">
        <v>9.0320017190000002</v>
      </c>
      <c r="K6" s="33">
        <v>37.926162849999997</v>
      </c>
      <c r="L6" s="33">
        <v>0.95427755299999995</v>
      </c>
      <c r="M6" s="33">
        <v>40.406389900000001</v>
      </c>
      <c r="N6" s="33">
        <v>0.99242515461696712</v>
      </c>
      <c r="O6" s="33">
        <v>0</v>
      </c>
      <c r="P6" s="33">
        <v>0</v>
      </c>
      <c r="Q6" s="37">
        <v>-3.3731312999999999E-2</v>
      </c>
      <c r="R6" s="33">
        <v>-6.4592206999999999E-2</v>
      </c>
      <c r="S6" s="33">
        <v>29.686149390000001</v>
      </c>
      <c r="T6" s="9">
        <v>41.7</v>
      </c>
      <c r="U6" s="34">
        <v>0.98488563299999998</v>
      </c>
      <c r="V6" s="9">
        <v>86</v>
      </c>
      <c r="W6" s="34">
        <v>9.2890589840000004</v>
      </c>
      <c r="X6" s="9">
        <v>6</v>
      </c>
      <c r="Y6" s="34">
        <v>-0.25649052100000003</v>
      </c>
      <c r="Z6" s="25">
        <v>1.0882909510000001</v>
      </c>
      <c r="AA6" s="25">
        <v>0.93278054200000005</v>
      </c>
      <c r="AB6" s="26">
        <v>0.71564422897842495</v>
      </c>
      <c r="AC6" s="25">
        <f>AVERAGE(AB6:AB8)</f>
        <v>0.6848187755856916</v>
      </c>
      <c r="AD6" s="25">
        <f>STDEV(AB6:AB8)</f>
        <v>3.4249885264867795E-2</v>
      </c>
      <c r="AE6" s="25">
        <f>0.0337/SQRT(3)</f>
        <v>1.9456704071690391E-2</v>
      </c>
      <c r="AF6" s="25">
        <f>_xlfn.CONFIDENCE.T(0.05,AD6,3)</f>
        <v>8.5081431609580066E-2</v>
      </c>
      <c r="AG6" s="71">
        <v>0.76353882845849996</v>
      </c>
      <c r="AH6" s="68">
        <f>AVERAGE(AG6:AG8)</f>
        <v>0.72941226654683333</v>
      </c>
      <c r="AI6" s="64">
        <f>STDEV(AG6:AG8)</f>
        <v>3.7900983473852637E-2</v>
      </c>
      <c r="AJ6" s="64">
        <f>0.0732/SQRT(3)</f>
        <v>4.2262039704680607E-2</v>
      </c>
      <c r="AK6" s="64">
        <f>_xlfn.CONFIDENCE.T(0.05,AI6,3)</f>
        <v>9.4151262359823407E-2</v>
      </c>
      <c r="AL6" s="55">
        <v>13.5</v>
      </c>
      <c r="AM6" s="18">
        <v>0.5</v>
      </c>
      <c r="AN6" s="15">
        <v>2.0640000000000001</v>
      </c>
      <c r="AO6" s="15" t="s">
        <v>190</v>
      </c>
      <c r="AP6" s="15">
        <v>13.4</v>
      </c>
      <c r="AQ6" s="15">
        <v>0.6</v>
      </c>
      <c r="AR6" s="51">
        <v>34.64</v>
      </c>
      <c r="AS6" s="51">
        <v>0.2</v>
      </c>
      <c r="AT6" s="22">
        <f>-19.264+0.558*AR6</f>
        <v>6.5120000000003841E-2</v>
      </c>
      <c r="AU6" s="22">
        <f>AT6-(-19.264+0.558*(AR6+AS6))</f>
        <v>-0.11159999999999926</v>
      </c>
      <c r="AV6" s="22">
        <f>AVERAGE(N6:N8)</f>
        <v>1.0070783176020466</v>
      </c>
      <c r="AW6" s="22">
        <f>STDEV(N6:N8)</f>
        <v>4.9193302071114935E-2</v>
      </c>
      <c r="AX6" s="22">
        <f>AW6/SQRT(3)</f>
        <v>2.8401766193084783E-2</v>
      </c>
      <c r="AY6" s="60">
        <f>16.8-(4.38*(AV6-AT6))+(0.1*(AV6-AT6)^2)</f>
        <v>12.762951116113022</v>
      </c>
      <c r="AZ6" s="22">
        <f>AY6-(16.8-(4.38*(AV6+AX6-AT6-AU6))+(0.1*(AV6-AX6-AT6+AU6)^2))</f>
        <v>0.63762285210090219</v>
      </c>
    </row>
    <row r="7" spans="1:52" x14ac:dyDescent="0.25">
      <c r="A7" t="s">
        <v>115</v>
      </c>
      <c r="B7" t="s">
        <v>113</v>
      </c>
      <c r="C7" s="1">
        <v>43529</v>
      </c>
      <c r="D7" t="s">
        <v>24</v>
      </c>
      <c r="E7" t="s">
        <v>114</v>
      </c>
      <c r="F7" t="s">
        <v>161</v>
      </c>
      <c r="G7" s="33">
        <v>-0.90289018499999996</v>
      </c>
      <c r="H7" s="33">
        <v>4.5126014259999998</v>
      </c>
      <c r="I7" s="33">
        <v>3.4543139749999998</v>
      </c>
      <c r="J7" s="33">
        <v>8.9717864830000007</v>
      </c>
      <c r="K7" s="33">
        <v>60.395377949999997</v>
      </c>
      <c r="L7" s="33">
        <v>0.91981592599999995</v>
      </c>
      <c r="M7" s="33">
        <v>40.379835210000003</v>
      </c>
      <c r="N7" s="33">
        <v>0.96687654356276198</v>
      </c>
      <c r="O7" s="33">
        <v>0</v>
      </c>
      <c r="P7" s="33">
        <v>0</v>
      </c>
      <c r="Q7" s="37">
        <v>-4.6452855000000001E-2</v>
      </c>
      <c r="R7" s="33">
        <v>-7.3128279000000004E-2</v>
      </c>
      <c r="S7" s="33">
        <v>52.066906629999998</v>
      </c>
      <c r="T7" s="9">
        <v>39.9</v>
      </c>
      <c r="U7" s="34">
        <v>0.98488563299999998</v>
      </c>
      <c r="V7" s="9">
        <v>86</v>
      </c>
      <c r="W7" s="34">
        <v>9.2890589840000004</v>
      </c>
      <c r="X7" s="9">
        <v>6</v>
      </c>
      <c r="Y7" s="34">
        <v>-0.27926135099999999</v>
      </c>
      <c r="Z7" s="25">
        <v>1.0882909510000001</v>
      </c>
      <c r="AA7" s="25">
        <v>0.93278054200000005</v>
      </c>
      <c r="AB7" s="26">
        <v>0.69086294074266497</v>
      </c>
      <c r="AC7" s="25"/>
      <c r="AD7" s="25"/>
      <c r="AE7" s="25"/>
      <c r="AF7" s="25"/>
      <c r="AG7" s="71">
        <v>0.73607698334369998</v>
      </c>
      <c r="AH7" s="68"/>
      <c r="AI7" s="64"/>
      <c r="AJ7" s="64"/>
      <c r="AK7" s="64"/>
      <c r="AL7" s="55"/>
      <c r="AM7" s="18"/>
      <c r="AN7" s="15"/>
      <c r="AO7" s="15"/>
      <c r="AP7" s="15"/>
      <c r="AQ7" s="15"/>
    </row>
    <row r="8" spans="1:52" x14ac:dyDescent="0.25">
      <c r="A8" t="s">
        <v>116</v>
      </c>
      <c r="B8" t="s">
        <v>113</v>
      </c>
      <c r="C8" s="1">
        <v>43530</v>
      </c>
      <c r="D8" t="s">
        <v>24</v>
      </c>
      <c r="E8" t="s">
        <v>114</v>
      </c>
      <c r="F8" t="s">
        <v>161</v>
      </c>
      <c r="G8" s="33">
        <v>-0.83883226200000005</v>
      </c>
      <c r="H8" s="33">
        <v>4.6080382569999996</v>
      </c>
      <c r="I8" s="33">
        <v>3.570257094</v>
      </c>
      <c r="J8" s="33">
        <v>9.1720781589999998</v>
      </c>
      <c r="K8" s="33">
        <v>39.476690599999998</v>
      </c>
      <c r="L8" s="33">
        <v>0.98497290599999998</v>
      </c>
      <c r="M8" s="33">
        <v>40.478635160000003</v>
      </c>
      <c r="N8" s="33">
        <v>1.0619332546264104</v>
      </c>
      <c r="O8" s="33">
        <v>0</v>
      </c>
      <c r="P8" s="33">
        <v>-2.2199999999999999E-13</v>
      </c>
      <c r="Q8" s="37">
        <v>-9.0461214999999998E-2</v>
      </c>
      <c r="R8" s="33">
        <v>-6.4644483000000003E-2</v>
      </c>
      <c r="S8" s="33">
        <v>31.049548959999999</v>
      </c>
      <c r="T8" s="9">
        <v>40.700000000000003</v>
      </c>
      <c r="U8" s="34">
        <v>0.98488563299999998</v>
      </c>
      <c r="V8" s="9">
        <v>88</v>
      </c>
      <c r="W8" s="34">
        <v>9.2890589840000004</v>
      </c>
      <c r="X8" s="9">
        <v>6</v>
      </c>
      <c r="Y8" s="34">
        <v>-0.31869362200000001</v>
      </c>
      <c r="Z8" s="25">
        <v>1.0882909510000001</v>
      </c>
      <c r="AA8" s="25">
        <v>0.93278054200000005</v>
      </c>
      <c r="AB8" s="26">
        <v>0.64794915703598499</v>
      </c>
      <c r="AC8" s="25"/>
      <c r="AD8" s="25"/>
      <c r="AE8" s="25"/>
      <c r="AF8" s="25"/>
      <c r="AG8" s="71">
        <v>0.68862098783829995</v>
      </c>
      <c r="AH8" s="68"/>
      <c r="AI8" s="64"/>
      <c r="AJ8" s="64"/>
      <c r="AK8" s="64"/>
      <c r="AL8" s="55"/>
      <c r="AM8" s="18"/>
      <c r="AN8" s="15"/>
      <c r="AO8" s="15"/>
      <c r="AP8" s="15"/>
      <c r="AQ8" s="15"/>
    </row>
    <row r="9" spans="1:52" x14ac:dyDescent="0.25">
      <c r="C9" s="1"/>
      <c r="T9" s="9"/>
      <c r="U9" s="34"/>
      <c r="V9" s="9"/>
      <c r="W9" s="34"/>
      <c r="X9" s="9"/>
      <c r="Y9" s="34"/>
      <c r="Z9" s="25"/>
      <c r="AA9" s="25"/>
      <c r="AB9" s="26"/>
      <c r="AC9" s="25"/>
      <c r="AD9" s="25"/>
      <c r="AE9" s="25"/>
      <c r="AF9" s="25"/>
      <c r="AG9" s="71"/>
      <c r="AH9" s="68"/>
      <c r="AI9" s="64"/>
      <c r="AJ9" s="64"/>
      <c r="AK9" s="64"/>
      <c r="AL9" s="55"/>
      <c r="AM9" s="18"/>
      <c r="AN9" s="15"/>
      <c r="AO9" s="15"/>
      <c r="AP9" s="15"/>
      <c r="AQ9" s="15"/>
    </row>
    <row r="10" spans="1:52" s="2" customFormat="1" x14ac:dyDescent="0.25">
      <c r="A10" s="2" t="s">
        <v>27</v>
      </c>
      <c r="B10" s="2" t="s">
        <v>28</v>
      </c>
      <c r="C10" s="3">
        <v>43494</v>
      </c>
      <c r="D10" s="2" t="s">
        <v>24</v>
      </c>
      <c r="E10" s="2" t="s">
        <v>29</v>
      </c>
      <c r="F10" s="7" t="s">
        <v>161</v>
      </c>
      <c r="G10" s="38">
        <v>-1.1005936999999999</v>
      </c>
      <c r="H10" s="38">
        <v>4.4215056429999997</v>
      </c>
      <c r="I10" s="38">
        <v>3.3930624969999998</v>
      </c>
      <c r="J10" s="38">
        <v>8.8496306419999993</v>
      </c>
      <c r="K10" s="38">
        <v>10.729458080000001</v>
      </c>
      <c r="L10" s="38">
        <v>0.71119676799999998</v>
      </c>
      <c r="M10" s="38">
        <v>40.285849650000003</v>
      </c>
      <c r="N10" s="33">
        <v>0.87645181945038075</v>
      </c>
      <c r="O10" s="38">
        <v>0</v>
      </c>
      <c r="P10" s="38">
        <v>-2.2199999999999999E-13</v>
      </c>
      <c r="Q10" s="38">
        <v>0.185859628</v>
      </c>
      <c r="R10" s="38">
        <v>-1.2828315E-2</v>
      </c>
      <c r="S10" s="38">
        <v>3.1813636380000001</v>
      </c>
      <c r="T10" s="10">
        <v>42.1</v>
      </c>
      <c r="U10" s="35">
        <v>0.94765312899999998</v>
      </c>
      <c r="V10" s="10">
        <v>22</v>
      </c>
      <c r="W10" s="35">
        <v>9.3977810809999998</v>
      </c>
      <c r="X10" s="10">
        <v>6</v>
      </c>
      <c r="Y10" s="35">
        <v>-3.7365575999999998E-2</v>
      </c>
      <c r="Z10" s="28">
        <v>1.0870752770000001</v>
      </c>
      <c r="AA10" s="28">
        <v>0.92198510199999995</v>
      </c>
      <c r="AB10" s="27">
        <v>0.94336590811953502</v>
      </c>
      <c r="AC10" s="28">
        <f>AVERAGE(AB11:AB12)</f>
        <v>0.69657995255443295</v>
      </c>
      <c r="AD10" s="28">
        <f>STDEV(AB11:AB12)</f>
        <v>2.3855332587702709E-2</v>
      </c>
      <c r="AE10" s="28">
        <f>0.0337/SQRT(2)</f>
        <v>2.3829498525986651E-2</v>
      </c>
      <c r="AF10" s="28">
        <f>_xlfn.CONFIDENCE.T(0.05,AD10,3)</f>
        <v>5.9259931307458914E-2</v>
      </c>
      <c r="AG10" s="71">
        <v>1.013388982733</v>
      </c>
      <c r="AH10" s="69">
        <f>AVERAGE(AG11:AG12)</f>
        <v>0.74139154134850005</v>
      </c>
      <c r="AI10" s="65">
        <f>STDEV(AG11:AG12)</f>
        <v>2.7914246975369719E-2</v>
      </c>
      <c r="AJ10" s="65">
        <f>0.0732/SQRT(2)</f>
        <v>5.1760216382855273E-2</v>
      </c>
      <c r="AK10" s="65">
        <f>_xlfn.CONFIDENCE.T(0.05,AI10,3)</f>
        <v>6.9342833606628532E-2</v>
      </c>
      <c r="AL10" s="56">
        <v>14.5</v>
      </c>
      <c r="AM10" s="19">
        <v>0.3</v>
      </c>
      <c r="AN10" s="16">
        <v>2.0009999999999999</v>
      </c>
      <c r="AO10" s="16" t="s">
        <v>190</v>
      </c>
      <c r="AP10" s="16">
        <v>14.1</v>
      </c>
      <c r="AQ10" s="16">
        <v>1.2</v>
      </c>
      <c r="AR10" s="51">
        <v>34.770000000000003</v>
      </c>
      <c r="AS10" s="51">
        <v>0.2</v>
      </c>
      <c r="AT10" s="22">
        <f>-19.264+0.558*AR10</f>
        <v>0.13766000000000389</v>
      </c>
      <c r="AU10" s="22">
        <f>AT10-(-19.264+0.558*(AR10+AS10))</f>
        <v>-0.11160000000000281</v>
      </c>
      <c r="AV10" s="22">
        <f>AVERAGE(N11:N12)</f>
        <v>0.92406419630589198</v>
      </c>
      <c r="AW10" s="22">
        <f>STDEV(N11:N12)</f>
        <v>5.7204617688929212E-2</v>
      </c>
      <c r="AX10" s="22">
        <f>AW10/SQRT(2)</f>
        <v>4.0449773083025768E-2</v>
      </c>
      <c r="AY10" s="60">
        <f>16.8-(4.38*(AV10-AT10))+(0.1*(AV10-AT10)^2)</f>
        <v>13.417392776176962</v>
      </c>
      <c r="AZ10" s="22">
        <f>AY10-(16.8-(4.38*(AV10+AX10-AT10-AU10))+(0.1*(AV10-AX10-AT10+AU10)^2))</f>
        <v>0.68758060867417647</v>
      </c>
    </row>
    <row r="11" spans="1:52" x14ac:dyDescent="0.25">
      <c r="A11" t="s">
        <v>30</v>
      </c>
      <c r="B11" t="s">
        <v>28</v>
      </c>
      <c r="C11" s="1">
        <v>43496</v>
      </c>
      <c r="D11" t="s">
        <v>24</v>
      </c>
      <c r="E11" t="s">
        <v>29</v>
      </c>
      <c r="F11" t="s">
        <v>161</v>
      </c>
      <c r="G11" s="33">
        <v>-1.1006833979999999</v>
      </c>
      <c r="H11" s="33">
        <v>4.5097854430000002</v>
      </c>
      <c r="I11" s="33">
        <v>3.269033651</v>
      </c>
      <c r="J11" s="33">
        <v>9.0247711000000006</v>
      </c>
      <c r="K11" s="33">
        <v>34.825018499999999</v>
      </c>
      <c r="L11" s="33">
        <v>0.70783583699999997</v>
      </c>
      <c r="M11" s="33">
        <v>40.377379599999998</v>
      </c>
      <c r="N11" s="33">
        <v>0.96451396938891776</v>
      </c>
      <c r="O11" s="33">
        <v>2.2199999999999999E-13</v>
      </c>
      <c r="P11" s="33">
        <v>2.2199999999999999E-13</v>
      </c>
      <c r="Q11" s="37">
        <v>-2.4087329000000001E-2</v>
      </c>
      <c r="R11" s="33">
        <v>-1.5013904999999999E-2</v>
      </c>
      <c r="S11" s="33">
        <v>26.919712950000001</v>
      </c>
      <c r="T11" s="9">
        <v>40.1</v>
      </c>
      <c r="U11" s="34">
        <v>0.97989193399999996</v>
      </c>
      <c r="V11" s="9">
        <v>26</v>
      </c>
      <c r="W11" s="34">
        <v>10.258126730000001</v>
      </c>
      <c r="X11" s="9">
        <v>6</v>
      </c>
      <c r="Y11" s="34">
        <v>-0.279900963</v>
      </c>
      <c r="Z11" s="25">
        <v>1.0870752770000001</v>
      </c>
      <c r="AA11" s="25">
        <v>0.92198510199999995</v>
      </c>
      <c r="AB11" s="26">
        <v>0.67971168511420799</v>
      </c>
      <c r="AC11" s="25"/>
      <c r="AD11" s="25"/>
      <c r="AE11" s="25"/>
      <c r="AF11" s="25"/>
      <c r="AG11" s="71">
        <v>0.72165318802050005</v>
      </c>
      <c r="AH11" s="68"/>
      <c r="AI11" s="64"/>
      <c r="AJ11" s="64"/>
      <c r="AK11" s="64"/>
      <c r="AL11" s="55"/>
      <c r="AM11" s="18"/>
      <c r="AN11" s="15"/>
      <c r="AO11" s="15"/>
      <c r="AP11" s="15"/>
      <c r="AQ11" s="15"/>
    </row>
    <row r="12" spans="1:52" x14ac:dyDescent="0.25">
      <c r="A12" t="s">
        <v>117</v>
      </c>
      <c r="B12" t="s">
        <v>28</v>
      </c>
      <c r="C12" s="1">
        <v>43528</v>
      </c>
      <c r="D12" t="s">
        <v>24</v>
      </c>
      <c r="E12" t="s">
        <v>29</v>
      </c>
      <c r="F12" t="s">
        <v>161</v>
      </c>
      <c r="G12" s="33">
        <v>-1.0812974470000001</v>
      </c>
      <c r="H12" s="33">
        <v>4.4287296349999998</v>
      </c>
      <c r="I12" s="33">
        <v>3.200542016</v>
      </c>
      <c r="J12" s="33">
        <v>8.7787479019999992</v>
      </c>
      <c r="K12" s="33">
        <v>35.650175310000002</v>
      </c>
      <c r="L12" s="33">
        <v>0.73162005799999996</v>
      </c>
      <c r="M12" s="33">
        <v>40.29329431</v>
      </c>
      <c r="N12" s="33">
        <v>0.88361442322286621</v>
      </c>
      <c r="O12" s="33">
        <v>0</v>
      </c>
      <c r="P12" s="33">
        <v>0</v>
      </c>
      <c r="Q12" s="37">
        <v>-3.3045774999999999E-2</v>
      </c>
      <c r="R12" s="33">
        <v>-9.7471225999999994E-2</v>
      </c>
      <c r="S12" s="33">
        <v>27.880283859999999</v>
      </c>
      <c r="T12" s="9">
        <v>41.2</v>
      </c>
      <c r="U12" s="34">
        <v>0.98488563299999998</v>
      </c>
      <c r="V12" s="9">
        <v>84</v>
      </c>
      <c r="W12" s="34">
        <v>9.2890589840000004</v>
      </c>
      <c r="X12" s="9">
        <v>6</v>
      </c>
      <c r="Y12" s="34">
        <v>-0.25850837199999999</v>
      </c>
      <c r="Z12" s="25">
        <v>1.0882909510000001</v>
      </c>
      <c r="AA12" s="25">
        <v>0.93278054200000005</v>
      </c>
      <c r="AB12" s="26">
        <v>0.71344821999465802</v>
      </c>
      <c r="AC12" s="25"/>
      <c r="AD12" s="25"/>
      <c r="AE12" s="25"/>
      <c r="AF12" s="25"/>
      <c r="AG12" s="71">
        <v>0.76112989467650005</v>
      </c>
      <c r="AH12" s="68"/>
      <c r="AI12" s="64"/>
      <c r="AJ12" s="64"/>
      <c r="AK12" s="64"/>
      <c r="AL12" s="55"/>
      <c r="AM12" s="18"/>
      <c r="AN12" s="15"/>
      <c r="AO12" s="15"/>
      <c r="AP12" s="15"/>
      <c r="AQ12" s="15"/>
    </row>
    <row r="13" spans="1:52" x14ac:dyDescent="0.25">
      <c r="C13" s="1"/>
      <c r="T13" s="9"/>
      <c r="U13" s="34"/>
      <c r="V13" s="9"/>
      <c r="W13" s="34"/>
      <c r="X13" s="9"/>
      <c r="Y13" s="34"/>
      <c r="Z13" s="25"/>
      <c r="AA13" s="25"/>
      <c r="AB13" s="26"/>
      <c r="AC13" s="25"/>
      <c r="AD13" s="25"/>
      <c r="AE13" s="25"/>
      <c r="AF13" s="25"/>
      <c r="AG13" s="71"/>
      <c r="AH13" s="68"/>
      <c r="AI13" s="64"/>
      <c r="AJ13" s="64"/>
      <c r="AK13" s="64"/>
      <c r="AL13" s="55"/>
      <c r="AM13" s="18"/>
      <c r="AN13" s="15"/>
      <c r="AO13" s="15"/>
      <c r="AP13" s="15"/>
      <c r="AQ13" s="15"/>
    </row>
    <row r="14" spans="1:52" x14ac:dyDescent="0.25">
      <c r="A14" t="s">
        <v>31</v>
      </c>
      <c r="B14" t="s">
        <v>32</v>
      </c>
      <c r="C14" s="1">
        <v>43495</v>
      </c>
      <c r="D14" t="s">
        <v>24</v>
      </c>
      <c r="E14" t="s">
        <v>33</v>
      </c>
      <c r="F14" t="s">
        <v>161</v>
      </c>
      <c r="G14" s="33">
        <v>-0.36021099499999998</v>
      </c>
      <c r="H14" s="33">
        <v>3.41679866</v>
      </c>
      <c r="I14" s="33">
        <v>2.9172105199999998</v>
      </c>
      <c r="J14" s="33">
        <v>6.697271185</v>
      </c>
      <c r="K14" s="33">
        <v>3.4011182770000001</v>
      </c>
      <c r="L14" s="33">
        <v>1.542239302</v>
      </c>
      <c r="M14" s="33">
        <v>39.242419560000002</v>
      </c>
      <c r="N14" s="33">
        <v>-0.12744577948774349</v>
      </c>
      <c r="O14" s="33">
        <v>0</v>
      </c>
      <c r="P14" s="33">
        <v>0</v>
      </c>
      <c r="Q14" s="37">
        <v>-6.8988322000000005E-2</v>
      </c>
      <c r="R14" s="33">
        <v>-0.14699881100000001</v>
      </c>
      <c r="S14" s="33">
        <v>-2.9194302909999998</v>
      </c>
      <c r="T14" s="9">
        <v>42</v>
      </c>
      <c r="U14" s="34">
        <v>0.94765312899999998</v>
      </c>
      <c r="V14" s="9">
        <v>24</v>
      </c>
      <c r="W14" s="34">
        <v>9.3977810809999998</v>
      </c>
      <c r="X14" s="9">
        <v>6</v>
      </c>
      <c r="Y14" s="34">
        <v>-0.29274501400000003</v>
      </c>
      <c r="Z14" s="25">
        <v>1.0870752770000001</v>
      </c>
      <c r="AA14" s="25">
        <v>0.92198510199999995</v>
      </c>
      <c r="AB14" s="26">
        <v>0.66574923481558101</v>
      </c>
      <c r="AC14" s="25">
        <f>AVERAGE(AB14:AB16)</f>
        <v>0.66468659195093405</v>
      </c>
      <c r="AD14" s="25">
        <f>STDEV(AB14:AB16)</f>
        <v>3.435275415368462E-2</v>
      </c>
      <c r="AE14" s="25">
        <f>0.0337/SQRT(3)</f>
        <v>1.9456704071690391E-2</v>
      </c>
      <c r="AF14" s="25">
        <f>_xlfn.CONFIDENCE.T(0.05,AD14,3)</f>
        <v>8.53369720956558E-2</v>
      </c>
      <c r="AG14" s="71">
        <v>0.70625435019649996</v>
      </c>
      <c r="AH14" s="68">
        <f>AVERAGE(AG14:AG16)</f>
        <v>0.70574214024069992</v>
      </c>
      <c r="AI14" s="64">
        <f>STDEV(AG14:AG16)</f>
        <v>3.6982304916488434E-2</v>
      </c>
      <c r="AJ14" s="64">
        <f>0.0732/SQRT(3)</f>
        <v>4.2262039704680607E-2</v>
      </c>
      <c r="AK14" s="64">
        <f>_xlfn.CONFIDENCE.T(0.05,AI14,3)</f>
        <v>9.1869138310498602E-2</v>
      </c>
      <c r="AL14" s="55">
        <v>19.2</v>
      </c>
      <c r="AM14" s="18">
        <v>3.4</v>
      </c>
      <c r="AN14" s="15">
        <v>2.7480000000000002</v>
      </c>
      <c r="AO14" s="15" t="s">
        <v>187</v>
      </c>
      <c r="AP14" s="15">
        <v>20.5</v>
      </c>
      <c r="AQ14" s="15">
        <v>2.2000000000000002</v>
      </c>
      <c r="AR14" s="51">
        <v>34.71</v>
      </c>
      <c r="AS14" s="51">
        <v>0.1</v>
      </c>
      <c r="AT14" s="22">
        <f>-19.264+0.558*AR14</f>
        <v>0.10418000000000305</v>
      </c>
      <c r="AU14" s="22">
        <f>AT14-(-19.264+0.558*(AR14+AS14))</f>
        <v>-5.5800000000001404E-2</v>
      </c>
      <c r="AV14" s="22">
        <f>AVERAGE(N14:N16)</f>
        <v>-0.11007988997315958</v>
      </c>
      <c r="AW14" s="22">
        <f>STDEV(N14:N16)</f>
        <v>3.5755159249324812E-2</v>
      </c>
      <c r="AX14" s="22">
        <f>AW14/SQRT(3)</f>
        <v>2.064325081751562E-2</v>
      </c>
      <c r="AY14" s="60">
        <f>16.8-(4.38*(AV14-AT14))+(0.1*(AV14-AT14)^2)</f>
        <v>17.743049048127585</v>
      </c>
      <c r="AZ14" s="22">
        <f>AY14-(16.8-(4.38*(AV14+AX14-AT14-AU14))+(0.1*(AV14-AX14-AT14+AU14)^2))</f>
        <v>0.33096133701929986</v>
      </c>
    </row>
    <row r="15" spans="1:52" x14ac:dyDescent="0.25">
      <c r="A15" t="s">
        <v>34</v>
      </c>
      <c r="B15" t="s">
        <v>32</v>
      </c>
      <c r="C15" s="1">
        <v>43497</v>
      </c>
      <c r="D15" t="s">
        <v>24</v>
      </c>
      <c r="E15" t="s">
        <v>33</v>
      </c>
      <c r="F15" t="s">
        <v>161</v>
      </c>
      <c r="G15" s="33">
        <v>-0.323343149</v>
      </c>
      <c r="H15" s="33">
        <v>3.4755140560000002</v>
      </c>
      <c r="I15" s="33">
        <v>3.0498885169999999</v>
      </c>
      <c r="J15" s="33">
        <v>6.8592262049999997</v>
      </c>
      <c r="K15" s="33">
        <v>18.333813509999999</v>
      </c>
      <c r="L15" s="33">
        <v>1.5795984890000001</v>
      </c>
      <c r="M15" s="33">
        <v>39.303209979999998</v>
      </c>
      <c r="N15" s="33">
        <v>-6.8958529348719821E-2</v>
      </c>
      <c r="O15" s="33">
        <v>2.2199999999999999E-13</v>
      </c>
      <c r="P15" s="33">
        <v>4.4399999999999998E-13</v>
      </c>
      <c r="Q15" s="37">
        <v>-3.2283789E-2</v>
      </c>
      <c r="R15" s="33">
        <v>-0.103166825</v>
      </c>
      <c r="S15" s="33">
        <v>11.763087690000001</v>
      </c>
      <c r="T15" s="9">
        <v>40.799999999999997</v>
      </c>
      <c r="U15" s="34">
        <v>0.94765312899999998</v>
      </c>
      <c r="V15" s="9">
        <v>28</v>
      </c>
      <c r="W15" s="34">
        <v>9.3977810809999998</v>
      </c>
      <c r="X15" s="9">
        <v>6</v>
      </c>
      <c r="Y15" s="34">
        <v>-0.262621561</v>
      </c>
      <c r="Z15" s="25">
        <v>1.0870752770000001</v>
      </c>
      <c r="AA15" s="25">
        <v>0.92198510199999995</v>
      </c>
      <c r="AB15" s="26">
        <v>0.69849569582975302</v>
      </c>
      <c r="AC15" s="25"/>
      <c r="AD15" s="25"/>
      <c r="AE15" s="25"/>
      <c r="AF15" s="25"/>
      <c r="AG15" s="71">
        <v>0.74246567976699995</v>
      </c>
      <c r="AH15" s="68"/>
      <c r="AI15" s="64"/>
      <c r="AJ15" s="64"/>
      <c r="AK15" s="64"/>
      <c r="AL15" s="55"/>
      <c r="AM15" s="18"/>
      <c r="AN15" s="15"/>
      <c r="AO15" s="15"/>
      <c r="AP15" s="15"/>
      <c r="AQ15" s="15"/>
    </row>
    <row r="16" spans="1:52" x14ac:dyDescent="0.25">
      <c r="A16" t="s">
        <v>118</v>
      </c>
      <c r="B16" t="s">
        <v>32</v>
      </c>
      <c r="C16" s="1">
        <v>43531</v>
      </c>
      <c r="D16" t="s">
        <v>24</v>
      </c>
      <c r="E16" t="s">
        <v>33</v>
      </c>
      <c r="F16" t="s">
        <v>162</v>
      </c>
      <c r="G16">
        <v>-0.53742328193786804</v>
      </c>
      <c r="H16">
        <v>3.5491706092009099</v>
      </c>
      <c r="I16">
        <v>2.8384052052646802</v>
      </c>
      <c r="J16">
        <v>6.9856890234776996</v>
      </c>
      <c r="K16">
        <v>16.3730341122928</v>
      </c>
      <c r="L16">
        <v>1.3473253982498901</v>
      </c>
      <c r="M16">
        <v>39.380080017611199</v>
      </c>
      <c r="N16" s="33">
        <v>-0.13383536108301541</v>
      </c>
      <c r="O16" s="33">
        <v>0</v>
      </c>
      <c r="P16" s="33">
        <v>-2.2199999999999999E-13</v>
      </c>
      <c r="Q16">
        <v>-9.4350409582943898E-2</v>
      </c>
      <c r="R16">
        <v>-0.124370525599327</v>
      </c>
      <c r="S16">
        <v>9.8998012544073699</v>
      </c>
      <c r="T16" s="9">
        <v>39.200000000000003</v>
      </c>
      <c r="U16" s="34">
        <v>0.83279736599999998</v>
      </c>
      <c r="V16" s="9">
        <v>96</v>
      </c>
      <c r="W16" s="34">
        <v>9.5999042479999996</v>
      </c>
      <c r="X16" s="9">
        <v>22</v>
      </c>
      <c r="Y16" s="34">
        <v>-0.33535673199999999</v>
      </c>
      <c r="Z16" s="25">
        <v>1.0882909510000001</v>
      </c>
      <c r="AA16" s="25">
        <v>0.93278054200000005</v>
      </c>
      <c r="AB16" s="26">
        <v>0.629814845207468</v>
      </c>
      <c r="AC16" s="25"/>
      <c r="AD16" s="25"/>
      <c r="AE16" s="25"/>
      <c r="AF16" s="25"/>
      <c r="AG16" s="71">
        <v>0.66850639075859997</v>
      </c>
      <c r="AH16" s="68"/>
      <c r="AI16" s="64"/>
      <c r="AJ16" s="64"/>
      <c r="AK16" s="64"/>
      <c r="AL16" s="55"/>
      <c r="AM16" s="18"/>
      <c r="AN16" s="15"/>
      <c r="AO16" s="15"/>
      <c r="AP16" s="15"/>
      <c r="AQ16" s="15"/>
    </row>
    <row r="17" spans="1:52" x14ac:dyDescent="0.25">
      <c r="C17" s="1"/>
      <c r="G17"/>
      <c r="H17"/>
      <c r="I17"/>
      <c r="J17"/>
      <c r="K17"/>
      <c r="L17"/>
      <c r="M17"/>
      <c r="N17"/>
      <c r="O17" s="74"/>
      <c r="P17"/>
      <c r="Q17"/>
      <c r="R17"/>
      <c r="T17" s="9"/>
      <c r="U17" s="34"/>
      <c r="V17" s="9"/>
      <c r="W17" s="34"/>
      <c r="X17" s="9"/>
      <c r="Y17" s="34"/>
      <c r="Z17" s="25"/>
      <c r="AA17" s="25"/>
      <c r="AB17" s="26"/>
      <c r="AC17" s="25"/>
      <c r="AD17" s="25"/>
      <c r="AE17" s="25"/>
      <c r="AF17" s="25"/>
      <c r="AG17" s="71"/>
      <c r="AH17" s="68"/>
      <c r="AI17" s="64"/>
      <c r="AJ17" s="64"/>
      <c r="AK17" s="64"/>
      <c r="AL17" s="55"/>
      <c r="AM17" s="18"/>
      <c r="AN17" s="15"/>
      <c r="AO17" s="15"/>
      <c r="AP17" s="15"/>
      <c r="AQ17" s="15"/>
    </row>
    <row r="18" spans="1:52" x14ac:dyDescent="0.25">
      <c r="A18" t="s">
        <v>35</v>
      </c>
      <c r="B18" t="s">
        <v>36</v>
      </c>
      <c r="C18" s="1">
        <v>43490</v>
      </c>
      <c r="D18" t="s">
        <v>24</v>
      </c>
      <c r="E18" t="s">
        <v>37</v>
      </c>
      <c r="F18" t="s">
        <v>162</v>
      </c>
      <c r="G18" s="33">
        <v>-0.96690246000000002</v>
      </c>
      <c r="H18" s="33">
        <v>3.4371733340000001</v>
      </c>
      <c r="I18" s="33">
        <v>2.2810244690000001</v>
      </c>
      <c r="J18" s="33">
        <v>6.7916275490000002</v>
      </c>
      <c r="K18" s="33">
        <v>9.4219998989999993</v>
      </c>
      <c r="L18" s="33">
        <v>0.89095912600000005</v>
      </c>
      <c r="M18" s="33">
        <v>39.264966829999999</v>
      </c>
      <c r="N18" s="33">
        <v>-0.10575275910002802</v>
      </c>
      <c r="O18" s="33">
        <v>0</v>
      </c>
      <c r="P18" s="33">
        <v>-4.4399999999999998E-13</v>
      </c>
      <c r="Q18" s="37">
        <v>-9.7161416E-2</v>
      </c>
      <c r="R18" s="33">
        <v>-9.3896788999999994E-2</v>
      </c>
      <c r="S18" s="33">
        <v>3.6726673440000002</v>
      </c>
      <c r="T18" s="9">
        <v>43.3</v>
      </c>
      <c r="U18" s="34">
        <v>0.94765312899999998</v>
      </c>
      <c r="V18" s="9">
        <v>14</v>
      </c>
      <c r="W18" s="34">
        <v>9.3977810809999998</v>
      </c>
      <c r="X18" s="9">
        <v>6</v>
      </c>
      <c r="Y18" s="34">
        <v>-0.31420024000000002</v>
      </c>
      <c r="Z18" s="25">
        <v>1.0870752770000001</v>
      </c>
      <c r="AA18" s="25">
        <v>0.92198510199999995</v>
      </c>
      <c r="AB18" s="26">
        <v>0.64242578906853298</v>
      </c>
      <c r="AC18" s="25">
        <f>AVERAGE(AB18:AB20)</f>
        <v>0.65805123379855202</v>
      </c>
      <c r="AD18" s="25">
        <f>STDEV(AB18:AB20)</f>
        <v>2.836983181389462E-2</v>
      </c>
      <c r="AE18" s="25">
        <f>0.0337/SQRT(3)</f>
        <v>1.9456704071690391E-2</v>
      </c>
      <c r="AF18" s="25">
        <f>_xlfn.CONFIDENCE.T(0.05,AD18,3)</f>
        <v>7.0474569084909927E-2</v>
      </c>
      <c r="AG18" s="71">
        <v>0.68038911478899999</v>
      </c>
      <c r="AH18" s="68">
        <f>AVERAGE(AG18:AG20)</f>
        <v>0.69839032167823334</v>
      </c>
      <c r="AI18" s="64">
        <f>STDEV(AG18:AG20)</f>
        <v>3.2648468928140113E-2</v>
      </c>
      <c r="AJ18" s="64">
        <f>0.0732/SQRT(3)</f>
        <v>4.2262039704680607E-2</v>
      </c>
      <c r="AK18" s="64">
        <f>_xlfn.CONFIDENCE.T(0.05,AI18,3)</f>
        <v>8.1103292895301757E-2</v>
      </c>
      <c r="AL18" s="55">
        <v>18.600000000000001</v>
      </c>
      <c r="AM18" s="18">
        <v>2.4</v>
      </c>
      <c r="AN18" s="15"/>
      <c r="AO18" s="15"/>
      <c r="AP18" s="15"/>
      <c r="AQ18" s="15"/>
      <c r="AR18" s="51">
        <v>34.700000000000003</v>
      </c>
      <c r="AS18" s="51">
        <v>0.1</v>
      </c>
      <c r="AT18" s="22">
        <f>-19.264+0.558*AR18</f>
        <v>9.8600000000004684E-2</v>
      </c>
      <c r="AU18" s="22">
        <f>AT18-(-19.264+0.558*(AR18+AS18))</f>
        <v>-5.5800000000001404E-2</v>
      </c>
      <c r="AV18" s="22">
        <f>AVERAGE(N18:N20)</f>
        <v>-0.11486203486159259</v>
      </c>
      <c r="AW18" s="22">
        <f>STDEV(N18:N20)</f>
        <v>1.8054662518166738E-2</v>
      </c>
      <c r="AX18" s="22">
        <f>AW18/SQRT(3)</f>
        <v>1.0423864264991414E-2</v>
      </c>
      <c r="AY18" s="60">
        <f>16.8-(4.38*(AV18-AT18))+(0.1*(AV18-AT18)^2)</f>
        <v>17.739520316726523</v>
      </c>
      <c r="AZ18" s="22">
        <f>AY18-(16.8-(4.38*(AV18+AX18-AT18-AU18))+(0.1*(AV18-AX18-AT18+AU18)^2))</f>
        <v>0.28679470929636963</v>
      </c>
    </row>
    <row r="19" spans="1:52" x14ac:dyDescent="0.25">
      <c r="A19" t="s">
        <v>38</v>
      </c>
      <c r="B19" t="s">
        <v>36</v>
      </c>
      <c r="C19" s="1">
        <v>43494</v>
      </c>
      <c r="D19" t="s">
        <v>24</v>
      </c>
      <c r="E19" t="s">
        <v>37</v>
      </c>
      <c r="F19" t="s">
        <v>162</v>
      </c>
      <c r="G19" s="33">
        <v>-0.96554410999999996</v>
      </c>
      <c r="H19" s="33">
        <v>3.4397588429999999</v>
      </c>
      <c r="I19" s="33">
        <v>2.2815982909999999</v>
      </c>
      <c r="J19" s="33">
        <v>6.8613044519999997</v>
      </c>
      <c r="K19" s="33">
        <v>3.3839232799999999</v>
      </c>
      <c r="L19" s="33">
        <v>0.89231995799999997</v>
      </c>
      <c r="M19" s="33">
        <v>39.267644330000003</v>
      </c>
      <c r="N19" s="33">
        <v>-0.10317670168421955</v>
      </c>
      <c r="O19" s="33">
        <v>0</v>
      </c>
      <c r="P19" s="33">
        <v>-4.4399999999999998E-13</v>
      </c>
      <c r="Q19" s="37">
        <v>-0.100524557</v>
      </c>
      <c r="R19" s="33">
        <v>-2.9849558000000002E-2</v>
      </c>
      <c r="S19" s="33">
        <v>-2.3375154970000001</v>
      </c>
      <c r="T19" s="9">
        <v>43.7</v>
      </c>
      <c r="U19" s="34">
        <v>0.94765312899999998</v>
      </c>
      <c r="V19" s="9">
        <v>22</v>
      </c>
      <c r="W19" s="34">
        <v>9.3977810809999998</v>
      </c>
      <c r="X19" s="9">
        <v>6</v>
      </c>
      <c r="Y19" s="34">
        <v>-0.31557675600000001</v>
      </c>
      <c r="Z19" s="25">
        <v>1.0870752770000001</v>
      </c>
      <c r="AA19" s="25">
        <v>0.92198510199999995</v>
      </c>
      <c r="AB19" s="26">
        <v>0.64092941255653901</v>
      </c>
      <c r="AC19" s="25"/>
      <c r="AD19" s="25"/>
      <c r="AE19" s="25"/>
      <c r="AF19" s="25"/>
      <c r="AG19" s="71">
        <v>0.67870486690200005</v>
      </c>
      <c r="AH19" s="68"/>
      <c r="AI19" s="64"/>
      <c r="AJ19" s="64"/>
      <c r="AK19" s="64"/>
      <c r="AL19" s="55"/>
      <c r="AM19" s="18"/>
      <c r="AN19" s="15"/>
      <c r="AO19" s="15"/>
      <c r="AP19" s="15"/>
      <c r="AQ19" s="15"/>
    </row>
    <row r="20" spans="1:52" x14ac:dyDescent="0.25">
      <c r="A20" t="s">
        <v>119</v>
      </c>
      <c r="B20" t="s">
        <v>36</v>
      </c>
      <c r="C20" s="1">
        <v>43528</v>
      </c>
      <c r="D20" t="s">
        <v>24</v>
      </c>
      <c r="E20" t="s">
        <v>37</v>
      </c>
      <c r="F20" t="s">
        <v>162</v>
      </c>
      <c r="G20" s="33">
        <v>-0.96145181099999999</v>
      </c>
      <c r="H20" s="33">
        <v>3.407207782</v>
      </c>
      <c r="I20" s="33">
        <v>2.325619584</v>
      </c>
      <c r="J20" s="33">
        <v>6.7549279889999996</v>
      </c>
      <c r="K20" s="33">
        <v>38.036631370000002</v>
      </c>
      <c r="L20" s="33">
        <v>0.89791232300000001</v>
      </c>
      <c r="M20" s="33">
        <v>39.233885360000002</v>
      </c>
      <c r="N20" s="33">
        <v>-0.13565664380053022</v>
      </c>
      <c r="O20" s="33">
        <v>0</v>
      </c>
      <c r="P20" s="33">
        <v>-4.4399999999999998E-13</v>
      </c>
      <c r="Q20" s="37">
        <v>-2.8941616E-2</v>
      </c>
      <c r="R20" s="33">
        <v>-7.0624592E-2</v>
      </c>
      <c r="S20" s="33">
        <v>32.178887410000002</v>
      </c>
      <c r="T20" s="9">
        <v>37.1</v>
      </c>
      <c r="U20" s="34">
        <v>0.98488563299999998</v>
      </c>
      <c r="V20" s="9">
        <v>84</v>
      </c>
      <c r="W20" s="34">
        <v>9.2890589840000004</v>
      </c>
      <c r="X20" s="9">
        <v>6</v>
      </c>
      <c r="Y20" s="34">
        <v>-0.27932056399999999</v>
      </c>
      <c r="Z20" s="25">
        <v>1.0882909510000001</v>
      </c>
      <c r="AA20" s="25">
        <v>0.93278054200000005</v>
      </c>
      <c r="AB20" s="26">
        <v>0.69079849977058405</v>
      </c>
      <c r="AC20" s="25"/>
      <c r="AD20" s="25"/>
      <c r="AE20" s="25"/>
      <c r="AF20" s="25"/>
      <c r="AG20" s="71">
        <v>0.73607698334369998</v>
      </c>
      <c r="AH20" s="68"/>
      <c r="AI20" s="64"/>
      <c r="AJ20" s="64"/>
      <c r="AK20" s="64"/>
      <c r="AL20" s="55"/>
      <c r="AM20" s="18"/>
      <c r="AN20" s="15"/>
      <c r="AO20" s="15"/>
      <c r="AP20" s="15"/>
      <c r="AQ20" s="15"/>
    </row>
    <row r="21" spans="1:52" x14ac:dyDescent="0.25">
      <c r="C21" s="1"/>
      <c r="T21" s="9"/>
      <c r="U21" s="34"/>
      <c r="V21" s="9"/>
      <c r="W21" s="34"/>
      <c r="X21" s="9"/>
      <c r="Y21" s="34"/>
      <c r="Z21" s="25"/>
      <c r="AA21" s="25"/>
      <c r="AB21" s="26"/>
      <c r="AC21" s="25"/>
      <c r="AD21" s="25"/>
      <c r="AE21" s="25"/>
      <c r="AF21" s="25"/>
      <c r="AG21" s="71"/>
      <c r="AH21" s="68"/>
      <c r="AI21" s="64"/>
      <c r="AJ21" s="64"/>
      <c r="AK21" s="64"/>
      <c r="AL21" s="55"/>
      <c r="AM21" s="18"/>
      <c r="AN21" s="15"/>
      <c r="AO21" s="15"/>
      <c r="AP21" s="15"/>
      <c r="AQ21" s="15"/>
    </row>
    <row r="22" spans="1:52" x14ac:dyDescent="0.25">
      <c r="A22" t="s">
        <v>39</v>
      </c>
      <c r="B22" t="s">
        <v>40</v>
      </c>
      <c r="C22" s="1">
        <v>43496</v>
      </c>
      <c r="D22" t="s">
        <v>24</v>
      </c>
      <c r="E22" t="s">
        <v>41</v>
      </c>
      <c r="F22" t="s">
        <v>161</v>
      </c>
      <c r="G22" s="33">
        <v>-0.82683415699999996</v>
      </c>
      <c r="H22" s="33">
        <v>3.4131950450000001</v>
      </c>
      <c r="I22" s="33">
        <v>2.448269088</v>
      </c>
      <c r="J22" s="33">
        <v>6.8266374120000002</v>
      </c>
      <c r="K22" s="33">
        <v>21.726752390000001</v>
      </c>
      <c r="L22" s="33">
        <v>1.042034881</v>
      </c>
      <c r="M22" s="33">
        <v>39.23977739</v>
      </c>
      <c r="N22" s="33">
        <v>-0.12998784545311537</v>
      </c>
      <c r="O22" s="33">
        <v>0</v>
      </c>
      <c r="P22" s="33">
        <v>0</v>
      </c>
      <c r="Q22" s="37">
        <v>-5.1456856000000002E-2</v>
      </c>
      <c r="R22" s="33">
        <v>-1.1333856E-2</v>
      </c>
      <c r="S22" s="33">
        <v>15.803257800000001</v>
      </c>
      <c r="T22" s="9">
        <v>42.1</v>
      </c>
      <c r="U22" s="34">
        <v>0.97989193399999996</v>
      </c>
      <c r="V22" s="9">
        <v>26</v>
      </c>
      <c r="W22" s="34">
        <v>10.258126730000001</v>
      </c>
      <c r="X22" s="9">
        <v>6</v>
      </c>
      <c r="Y22" s="34">
        <v>-0.29511782399999997</v>
      </c>
      <c r="Z22" s="25">
        <v>1.0870752770000001</v>
      </c>
      <c r="AA22" s="25">
        <v>0.92198510199999995</v>
      </c>
      <c r="AB22" s="26">
        <v>0.66316981172756295</v>
      </c>
      <c r="AC22" s="25">
        <f>AB22</f>
        <v>0.66316981172756295</v>
      </c>
      <c r="AD22" s="25">
        <v>3.370586464046349E-2</v>
      </c>
      <c r="AE22" s="25">
        <v>3.370586464046349E-2</v>
      </c>
      <c r="AF22" s="25"/>
      <c r="AG22" s="71">
        <v>0.7033670681045</v>
      </c>
      <c r="AH22" s="68">
        <f>AG22</f>
        <v>0.7033670681045</v>
      </c>
      <c r="AI22" s="64">
        <v>3.370586464046349E-2</v>
      </c>
      <c r="AJ22" s="64">
        <v>7.3205864640463497E-2</v>
      </c>
      <c r="AK22" s="64"/>
      <c r="AL22" s="55">
        <v>19.100000000000001</v>
      </c>
      <c r="AM22" s="18">
        <v>2.1</v>
      </c>
      <c r="AN22" s="15"/>
      <c r="AO22" s="15"/>
      <c r="AP22" s="15"/>
      <c r="AQ22" s="15"/>
      <c r="AR22" s="51">
        <v>34.700000000000003</v>
      </c>
      <c r="AS22" s="51">
        <v>0.1</v>
      </c>
      <c r="AT22" s="22">
        <f>-19.264+0.558*AR22</f>
        <v>9.8600000000004684E-2</v>
      </c>
      <c r="AU22" s="22">
        <f>AT22-(-19.264+0.558*(AR22+AS22))</f>
        <v>-5.5800000000001404E-2</v>
      </c>
      <c r="AV22" s="22">
        <f>AVERAGE(N22)</f>
        <v>-0.12998784545311537</v>
      </c>
      <c r="AW22" s="22">
        <v>0.04</v>
      </c>
      <c r="AX22" s="22">
        <f>AW22</f>
        <v>0.04</v>
      </c>
      <c r="AY22" s="60">
        <f>16.8-(4.38*(AV22-AT22))+(0.1*(AV22-AT22)^2)</f>
        <v>17.806440003393554</v>
      </c>
      <c r="AZ22" s="22">
        <f>AY22-(16.8-(4.38*(AV22+AX22-AT22-AU22))+(0.1*(AV22-AX22-AT22+AU22)^2))</f>
        <v>0.4143064928811242</v>
      </c>
    </row>
    <row r="23" spans="1:52" x14ac:dyDescent="0.25">
      <c r="C23" s="1"/>
      <c r="T23" s="9"/>
      <c r="U23" s="34"/>
      <c r="V23" s="9"/>
      <c r="W23" s="34"/>
      <c r="X23" s="9"/>
      <c r="Y23" s="34"/>
      <c r="Z23" s="25"/>
      <c r="AA23" s="25"/>
      <c r="AB23" s="26"/>
      <c r="AC23" s="25"/>
      <c r="AD23" s="25"/>
      <c r="AE23" s="25"/>
      <c r="AF23" s="25"/>
      <c r="AG23" s="71"/>
      <c r="AH23" s="68"/>
      <c r="AI23" s="64"/>
      <c r="AJ23" s="64"/>
      <c r="AK23" s="64"/>
      <c r="AL23" s="55"/>
      <c r="AM23" s="18"/>
      <c r="AN23" s="15"/>
      <c r="AO23" s="15"/>
      <c r="AP23" s="15"/>
      <c r="AQ23" s="15"/>
    </row>
    <row r="24" spans="1:52" x14ac:dyDescent="0.25">
      <c r="A24" t="s">
        <v>42</v>
      </c>
      <c r="B24" t="s">
        <v>43</v>
      </c>
      <c r="C24" s="1">
        <v>43486</v>
      </c>
      <c r="D24" t="s">
        <v>44</v>
      </c>
      <c r="E24" t="s">
        <v>25</v>
      </c>
      <c r="F24" t="s">
        <v>161</v>
      </c>
      <c r="G24" s="33">
        <v>-1.938679687</v>
      </c>
      <c r="H24" s="33">
        <v>5.4732010899999999</v>
      </c>
      <c r="I24" s="33">
        <v>3.4115068279999998</v>
      </c>
      <c r="J24" s="33">
        <v>10.84297793</v>
      </c>
      <c r="K24" s="33">
        <v>4.8718421239999996</v>
      </c>
      <c r="L24" s="33">
        <v>-0.22632772000000001</v>
      </c>
      <c r="M24" s="33">
        <v>41.378229879999999</v>
      </c>
      <c r="N24" s="33">
        <v>1.9274449818427684</v>
      </c>
      <c r="O24" s="33">
        <v>0</v>
      </c>
      <c r="P24" s="33">
        <v>-4.4399999999999998E-13</v>
      </c>
      <c r="Q24" s="37">
        <v>4.1365801000000001E-2</v>
      </c>
      <c r="R24" s="33">
        <v>-0.13195165</v>
      </c>
      <c r="S24" s="33">
        <v>-3.7905314639999999</v>
      </c>
      <c r="T24" s="9">
        <v>30.3</v>
      </c>
      <c r="U24" s="34">
        <v>0.97374777099999998</v>
      </c>
      <c r="V24" s="9">
        <v>8</v>
      </c>
      <c r="W24" s="34">
        <v>10.82834557</v>
      </c>
      <c r="X24" s="9">
        <v>6</v>
      </c>
      <c r="Y24" s="34">
        <v>-0.31600534000000002</v>
      </c>
      <c r="Z24" s="25">
        <v>1.0870752770000001</v>
      </c>
      <c r="AA24" s="25">
        <v>0.92198510199999995</v>
      </c>
      <c r="AB24" s="26">
        <v>0.64046350948602104</v>
      </c>
      <c r="AC24" s="25">
        <f>AVERAGE(AB24:AB26)</f>
        <v>0.66370111608559901</v>
      </c>
      <c r="AD24" s="25">
        <f>STDEV(AB24:AB26)</f>
        <v>4.2840193070563096E-2</v>
      </c>
      <c r="AE24" s="25">
        <f>0.0337/SQRT(3)</f>
        <v>1.9456704071690391E-2</v>
      </c>
      <c r="AF24" s="25">
        <f>_xlfn.CONFIDENCE.T(0.05,AD24,3)</f>
        <v>0.106420939185251</v>
      </c>
      <c r="AG24" s="71">
        <v>0.67822365322</v>
      </c>
      <c r="AH24" s="68">
        <f>AVERAGE(AG24:AG26)</f>
        <v>0.70465588956523328</v>
      </c>
      <c r="AI24" s="64">
        <f>STDEV(AG24:AG26)</f>
        <v>4.8622125335526366E-2</v>
      </c>
      <c r="AJ24" s="64">
        <f>0.0732/SQRT(3)</f>
        <v>4.2262039704680607E-2</v>
      </c>
      <c r="AK24" s="64">
        <f>_xlfn.CONFIDENCE.T(0.05,AI24,3)</f>
        <v>0.12078405517143226</v>
      </c>
      <c r="AL24" s="55">
        <v>6.8</v>
      </c>
      <c r="AM24" s="18">
        <v>1.4</v>
      </c>
      <c r="AN24" s="15"/>
      <c r="AO24" s="15"/>
      <c r="AP24" s="15"/>
      <c r="AQ24" s="15"/>
      <c r="AR24" s="51">
        <v>34.020000000000003</v>
      </c>
      <c r="AS24" s="51">
        <v>0.1</v>
      </c>
      <c r="AT24" s="22">
        <f>-19.264+0.558*AR24</f>
        <v>-0.28083999999999421</v>
      </c>
      <c r="AU24" s="22">
        <f>AT24-(-19.264+0.558*(AR24+AS24))</f>
        <v>-5.5799999999997851E-2</v>
      </c>
      <c r="AV24" s="22">
        <f>AVERAGE(N24:N26)</f>
        <v>1.9432836347449438</v>
      </c>
      <c r="AW24" s="22">
        <f>STDEV(N24:N26)</f>
        <v>1.7854425293650042E-2</v>
      </c>
      <c r="AX24" s="22">
        <f>AW24/SQRT(3)</f>
        <v>1.0308257249514915E-2</v>
      </c>
      <c r="AY24" s="60">
        <f>16.8-(4.38*(AV24-AT24))+(0.1*(AV24-AT24)^2)</f>
        <v>7.5530110740802749</v>
      </c>
      <c r="AZ24" s="22">
        <f>AY24-(16.8-(4.38*(AV24+AX24-AT24-AU24))+(0.1*(AV24-AX24-AT24+AU24)^2))</f>
        <v>0.31852372406529739</v>
      </c>
    </row>
    <row r="25" spans="1:52" x14ac:dyDescent="0.25">
      <c r="A25" t="s">
        <v>45</v>
      </c>
      <c r="B25" t="s">
        <v>43</v>
      </c>
      <c r="C25" s="1">
        <v>43487</v>
      </c>
      <c r="D25" t="s">
        <v>44</v>
      </c>
      <c r="E25" t="s">
        <v>25</v>
      </c>
      <c r="F25" t="s">
        <v>161</v>
      </c>
      <c r="G25" s="33">
        <v>-1.921128655</v>
      </c>
      <c r="H25" s="33">
        <v>5.4855997949999997</v>
      </c>
      <c r="I25" s="33">
        <v>3.4306582149999998</v>
      </c>
      <c r="J25" s="33">
        <v>10.883412999999999</v>
      </c>
      <c r="K25" s="33">
        <v>10.31240607</v>
      </c>
      <c r="L25" s="33">
        <v>-0.20796689500000001</v>
      </c>
      <c r="M25" s="33">
        <v>41.391043850000003</v>
      </c>
      <c r="N25" s="33">
        <v>1.939773468282965</v>
      </c>
      <c r="O25" s="33">
        <v>0</v>
      </c>
      <c r="P25" s="33">
        <v>0</v>
      </c>
      <c r="Q25" s="37">
        <v>3.018506E-2</v>
      </c>
      <c r="R25" s="33">
        <v>-0.11661513900000001</v>
      </c>
      <c r="S25" s="33">
        <v>1.5600904950000001</v>
      </c>
      <c r="T25" s="9">
        <v>29.4</v>
      </c>
      <c r="U25" s="34">
        <v>0.97989193399999996</v>
      </c>
      <c r="V25" s="9">
        <v>11</v>
      </c>
      <c r="W25" s="34">
        <v>10.258126730000001</v>
      </c>
      <c r="X25" s="9">
        <v>6</v>
      </c>
      <c r="Y25" s="34">
        <v>-0.318730815</v>
      </c>
      <c r="Z25" s="25">
        <v>1.0870752770000001</v>
      </c>
      <c r="AA25" s="25">
        <v>0.92198510199999995</v>
      </c>
      <c r="AB25" s="26">
        <v>0.63750071299543898</v>
      </c>
      <c r="AC25" s="25"/>
      <c r="AD25" s="25"/>
      <c r="AE25" s="25"/>
      <c r="AF25" s="25"/>
      <c r="AG25" s="71">
        <v>0.67497546086649995</v>
      </c>
      <c r="AH25" s="68"/>
      <c r="AI25" s="64"/>
      <c r="AJ25" s="64"/>
      <c r="AK25" s="64"/>
      <c r="AL25" s="55"/>
      <c r="AM25" s="18"/>
      <c r="AN25" s="15"/>
      <c r="AO25" s="15"/>
      <c r="AP25" s="15"/>
      <c r="AQ25" s="15"/>
    </row>
    <row r="26" spans="1:52" x14ac:dyDescent="0.25">
      <c r="A26" t="s">
        <v>120</v>
      </c>
      <c r="B26" t="s">
        <v>43</v>
      </c>
      <c r="C26" s="1">
        <v>43530</v>
      </c>
      <c r="D26" t="s">
        <v>44</v>
      </c>
      <c r="E26" t="s">
        <v>25</v>
      </c>
      <c r="F26" t="s">
        <v>162</v>
      </c>
      <c r="G26" s="33">
        <v>-1.9818131800000001</v>
      </c>
      <c r="H26" s="33">
        <v>5.5083779059999998</v>
      </c>
      <c r="I26" s="33">
        <v>3.419295602</v>
      </c>
      <c r="J26" s="33">
        <v>10.98808191</v>
      </c>
      <c r="K26" s="33">
        <v>33.042381689999999</v>
      </c>
      <c r="L26" s="33">
        <v>-0.27387798699999999</v>
      </c>
      <c r="M26" s="33">
        <v>41.414802999999999</v>
      </c>
      <c r="N26" s="33">
        <v>1.962632454109098</v>
      </c>
      <c r="O26" s="33">
        <v>0</v>
      </c>
      <c r="P26" s="33">
        <v>0</v>
      </c>
      <c r="Q26" s="37">
        <v>5.9326068000000003E-2</v>
      </c>
      <c r="R26" s="33">
        <v>-5.8391314E-2</v>
      </c>
      <c r="S26" s="33">
        <v>24.113943899999999</v>
      </c>
      <c r="T26" s="9">
        <v>29.2</v>
      </c>
      <c r="U26" s="34">
        <v>0.98488563299999998</v>
      </c>
      <c r="V26" s="9">
        <v>88</v>
      </c>
      <c r="W26" s="34">
        <v>9.2890589840000004</v>
      </c>
      <c r="X26" s="9">
        <v>6</v>
      </c>
      <c r="Y26" s="34">
        <v>-0.25879238999999998</v>
      </c>
      <c r="Z26" s="25">
        <v>1.0882909510000001</v>
      </c>
      <c r="AA26" s="25">
        <v>0.93278054200000005</v>
      </c>
      <c r="AB26" s="26">
        <v>0.713139125775337</v>
      </c>
      <c r="AC26" s="25"/>
      <c r="AD26" s="25"/>
      <c r="AE26" s="25"/>
      <c r="AF26" s="25"/>
      <c r="AG26" s="71">
        <v>0.76076855460920001</v>
      </c>
      <c r="AH26" s="68"/>
      <c r="AI26" s="64"/>
      <c r="AJ26" s="64"/>
      <c r="AK26" s="64"/>
      <c r="AL26" s="55"/>
      <c r="AM26" s="18"/>
      <c r="AN26" s="15"/>
      <c r="AO26" s="15"/>
      <c r="AP26" s="15"/>
      <c r="AQ26" s="15"/>
    </row>
    <row r="27" spans="1:52" x14ac:dyDescent="0.25">
      <c r="C27" s="1"/>
      <c r="T27" s="9"/>
      <c r="U27" s="34"/>
      <c r="V27" s="9"/>
      <c r="W27" s="34"/>
      <c r="X27" s="9"/>
      <c r="Y27" s="34"/>
      <c r="Z27" s="25"/>
      <c r="AA27" s="25"/>
      <c r="AB27" s="26"/>
      <c r="AC27" s="25"/>
      <c r="AD27" s="25"/>
      <c r="AE27" s="25"/>
      <c r="AF27" s="25"/>
      <c r="AG27" s="71"/>
      <c r="AH27" s="68"/>
      <c r="AI27" s="64"/>
      <c r="AJ27" s="64"/>
      <c r="AK27" s="64"/>
      <c r="AL27" s="55"/>
      <c r="AM27" s="18"/>
      <c r="AN27" s="15"/>
      <c r="AO27" s="15"/>
      <c r="AP27" s="15"/>
      <c r="AQ27" s="15"/>
    </row>
    <row r="28" spans="1:52" x14ac:dyDescent="0.25">
      <c r="A28" t="s">
        <v>46</v>
      </c>
      <c r="B28" t="s">
        <v>47</v>
      </c>
      <c r="C28" s="1">
        <v>43496</v>
      </c>
      <c r="D28" t="s">
        <v>44</v>
      </c>
      <c r="E28" t="s">
        <v>48</v>
      </c>
      <c r="F28" t="s">
        <v>162</v>
      </c>
      <c r="G28" s="33">
        <v>-1.3072789389999999</v>
      </c>
      <c r="H28" s="33">
        <v>6.4539394210000003</v>
      </c>
      <c r="I28" s="33">
        <v>5.0069009490000003</v>
      </c>
      <c r="J28" s="33">
        <v>12.92512786</v>
      </c>
      <c r="K28" s="33">
        <v>21.69249117</v>
      </c>
      <c r="L28" s="33">
        <v>0.41444914900000002</v>
      </c>
      <c r="M28" s="33">
        <v>42.39359228</v>
      </c>
      <c r="N28" s="33">
        <v>2.9043382928381334</v>
      </c>
      <c r="O28" s="33">
        <v>0</v>
      </c>
      <c r="P28" s="33">
        <v>0</v>
      </c>
      <c r="Q28" s="37">
        <v>1.9096307999999999E-2</v>
      </c>
      <c r="R28" s="33">
        <v>-2.4106346000000001E-2</v>
      </c>
      <c r="S28" s="33">
        <v>10.265338809999999</v>
      </c>
      <c r="T28" s="9">
        <v>36.1</v>
      </c>
      <c r="U28" s="34">
        <v>0.97989193399999996</v>
      </c>
      <c r="V28" s="9">
        <v>26</v>
      </c>
      <c r="W28" s="34">
        <v>10.258126730000001</v>
      </c>
      <c r="X28" s="9">
        <v>6</v>
      </c>
      <c r="Y28" s="34">
        <v>-0.26506232699999999</v>
      </c>
      <c r="Z28" s="25">
        <v>1.0870752770000001</v>
      </c>
      <c r="AA28" s="25">
        <v>0.92198510199999995</v>
      </c>
      <c r="AB28" s="26">
        <v>0.69584239945421</v>
      </c>
      <c r="AC28" s="25">
        <f>AVERAGE(AB28:AB29)</f>
        <v>0.67888236897393894</v>
      </c>
      <c r="AD28" s="25">
        <f>STDEV(AB28:AB29)</f>
        <v>2.3985105123460332E-2</v>
      </c>
      <c r="AE28" s="25">
        <f>0.0337058646404635/SQRT(2)</f>
        <v>2.3833645453027609E-2</v>
      </c>
      <c r="AF28" s="25">
        <f>_xlfn.CONFIDENCE.T(0.05,AD28,2)</f>
        <v>0.21549761961408681</v>
      </c>
      <c r="AG28" s="71">
        <v>0.73945809425450004</v>
      </c>
      <c r="AH28" s="68">
        <f>AVERAGE(AG28:AG29)</f>
        <v>0.7246331238208501</v>
      </c>
      <c r="AI28" s="64">
        <f>STDEV(AG28:AG29)</f>
        <v>2.096567424904797E-2</v>
      </c>
      <c r="AJ28" s="64">
        <f>0.0732058646404635/SQRT(2)</f>
        <v>5.1764363309896234E-2</v>
      </c>
      <c r="AK28" s="64">
        <f>_xlfn.CONFIDENCE.T(0.05,AI28,2)</f>
        <v>0.18836910953769356</v>
      </c>
      <c r="AL28" s="55">
        <v>4.8</v>
      </c>
      <c r="AM28" s="18">
        <v>0.4</v>
      </c>
      <c r="AN28" s="15">
        <v>1.2150000000000001</v>
      </c>
      <c r="AO28" s="15" t="s">
        <v>186</v>
      </c>
      <c r="AP28" s="15">
        <v>6.7</v>
      </c>
      <c r="AQ28" s="15">
        <v>4</v>
      </c>
      <c r="AR28" s="51">
        <v>34.18</v>
      </c>
      <c r="AS28" s="51">
        <v>0.09</v>
      </c>
      <c r="AT28" s="22">
        <f>-19.264+0.558*AR28</f>
        <v>-0.19155999999999906</v>
      </c>
      <c r="AU28" s="22">
        <f>AT28-(-19.264+0.558*(AR28+AS28))</f>
        <v>-5.022000000000304E-2</v>
      </c>
      <c r="AV28" s="22">
        <f>AVERAGE(N28:N29)</f>
        <v>2.8880043137238545</v>
      </c>
      <c r="AW28" s="22">
        <f>STDEV(N28:N29)</f>
        <v>2.3099734790932122E-2</v>
      </c>
      <c r="AX28" s="22">
        <f>AW28/SQRT(2)</f>
        <v>1.6333979114278918E-2</v>
      </c>
      <c r="AY28" s="60">
        <f>16.8-(4.38*(AV28-AT28))+(0.1*(AV28-AT28)^2)</f>
        <v>4.2598799421256706</v>
      </c>
      <c r="AZ28" s="22">
        <f>AY28-(16.8-(4.38*(AV28+AX28-AT28-AU28))+(0.1*(AV28-AX28-AT28+AU28)^2))</f>
        <v>0.33205493711029499</v>
      </c>
    </row>
    <row r="29" spans="1:52" x14ac:dyDescent="0.25">
      <c r="A29" t="s">
        <v>140</v>
      </c>
      <c r="B29" t="s">
        <v>47</v>
      </c>
      <c r="C29" s="1">
        <v>43612</v>
      </c>
      <c r="D29" t="s">
        <v>44</v>
      </c>
      <c r="E29" t="s">
        <v>48</v>
      </c>
      <c r="F29" t="s">
        <v>162</v>
      </c>
      <c r="G29" s="33">
        <v>-1.2858013589999999</v>
      </c>
      <c r="H29" s="33">
        <v>6.421239345</v>
      </c>
      <c r="I29" s="33">
        <v>4.8742756099999998</v>
      </c>
      <c r="J29" s="33">
        <v>12.92733408</v>
      </c>
      <c r="K29" s="33">
        <v>8.133659346</v>
      </c>
      <c r="L29" s="33">
        <v>0.438686725</v>
      </c>
      <c r="M29" s="33">
        <v>42.359637890000002</v>
      </c>
      <c r="N29" s="33">
        <v>2.8716703346095755</v>
      </c>
      <c r="O29" s="33">
        <v>0</v>
      </c>
      <c r="P29" s="33">
        <v>2.2199999999999999E-13</v>
      </c>
      <c r="Q29" s="37">
        <v>-0.103117972</v>
      </c>
      <c r="R29" s="33">
        <v>4.3054383000000002E-2</v>
      </c>
      <c r="S29" s="33">
        <v>-3.1010507820000002</v>
      </c>
      <c r="T29" s="9">
        <v>37.5</v>
      </c>
      <c r="U29" s="34">
        <v>0.95980590899999996</v>
      </c>
      <c r="V29" s="9">
        <v>38</v>
      </c>
      <c r="W29" s="34">
        <v>5.7470637379999996</v>
      </c>
      <c r="X29" s="9">
        <v>6</v>
      </c>
      <c r="Y29" s="34">
        <v>-0.25637300499999999</v>
      </c>
      <c r="Z29" s="25">
        <v>1.0483067260000001</v>
      </c>
      <c r="AA29" s="25">
        <v>0.86867988399999996</v>
      </c>
      <c r="AB29" s="26">
        <v>0.66192233849366799</v>
      </c>
      <c r="AC29" s="25"/>
      <c r="AD29" s="25"/>
      <c r="AE29" s="25"/>
      <c r="AF29" s="25"/>
      <c r="AG29" s="71">
        <v>0.70980815338720005</v>
      </c>
      <c r="AH29" s="68"/>
      <c r="AI29" s="64"/>
      <c r="AJ29" s="64"/>
      <c r="AK29" s="64"/>
      <c r="AL29" s="55"/>
      <c r="AM29" s="18"/>
      <c r="AN29" s="15"/>
      <c r="AO29" s="15"/>
      <c r="AP29" s="15"/>
      <c r="AQ29" s="15"/>
    </row>
    <row r="30" spans="1:52" x14ac:dyDescent="0.25">
      <c r="C30" s="1"/>
      <c r="T30" s="9"/>
      <c r="U30" s="34"/>
      <c r="V30" s="9"/>
      <c r="W30" s="34"/>
      <c r="X30" s="9"/>
      <c r="Y30" s="34"/>
      <c r="Z30" s="25"/>
      <c r="AA30" s="25"/>
      <c r="AB30" s="26"/>
      <c r="AC30" s="25"/>
      <c r="AD30" s="25"/>
      <c r="AE30" s="25"/>
      <c r="AF30" s="25"/>
      <c r="AG30" s="71"/>
      <c r="AH30" s="68"/>
      <c r="AI30" s="64"/>
      <c r="AJ30" s="64"/>
      <c r="AK30" s="64"/>
      <c r="AL30" s="55"/>
      <c r="AM30" s="18"/>
      <c r="AN30" s="15"/>
      <c r="AO30" s="15"/>
      <c r="AP30" s="15"/>
      <c r="AQ30" s="15"/>
    </row>
    <row r="31" spans="1:52" s="7" customFormat="1" x14ac:dyDescent="0.25">
      <c r="A31" s="7" t="s">
        <v>141</v>
      </c>
      <c r="B31" s="7" t="s">
        <v>142</v>
      </c>
      <c r="C31" s="8">
        <v>43612</v>
      </c>
      <c r="D31" s="7" t="s">
        <v>143</v>
      </c>
      <c r="E31" s="7" t="s">
        <v>48</v>
      </c>
      <c r="F31" s="7" t="s">
        <v>162</v>
      </c>
      <c r="G31" s="39">
        <v>-1.2188576950000001</v>
      </c>
      <c r="H31" s="39">
        <v>5.959150889</v>
      </c>
      <c r="I31" s="39">
        <v>4.479471835</v>
      </c>
      <c r="J31" s="39">
        <v>12.04548518</v>
      </c>
      <c r="K31" s="39">
        <v>66.538467409999996</v>
      </c>
      <c r="L31" s="39">
        <v>0.52754228700000005</v>
      </c>
      <c r="M31" s="39">
        <v>41.880380299999999</v>
      </c>
      <c r="N31" s="33">
        <v>2.4105704022950931</v>
      </c>
      <c r="O31" s="39">
        <v>0</v>
      </c>
      <c r="P31" s="39">
        <v>0</v>
      </c>
      <c r="Q31" s="38">
        <v>-0.113745293</v>
      </c>
      <c r="R31" s="39">
        <v>9.0575972000000005E-2</v>
      </c>
      <c r="S31" s="39">
        <v>55.529630439999998</v>
      </c>
      <c r="T31" s="10">
        <v>38.1</v>
      </c>
      <c r="U31" s="35">
        <v>0.95980590899999996</v>
      </c>
      <c r="V31" s="10">
        <v>38</v>
      </c>
      <c r="W31" s="35">
        <v>5.7470637379999996</v>
      </c>
      <c r="X31" s="10">
        <v>6</v>
      </c>
      <c r="Y31" s="35">
        <v>-0.26458686100000001</v>
      </c>
      <c r="Z31" s="28">
        <v>1.0483067260000001</v>
      </c>
      <c r="AA31" s="28">
        <v>0.86867988399999996</v>
      </c>
      <c r="AB31" s="27">
        <v>0.65331169800247302</v>
      </c>
      <c r="AC31" s="28">
        <f>AB31</f>
        <v>0.65331169800247302</v>
      </c>
      <c r="AD31" s="28">
        <v>3.370586464046349E-2</v>
      </c>
      <c r="AE31" s="28">
        <v>3.370586464046349E-2</v>
      </c>
      <c r="AF31" s="28"/>
      <c r="AG31" s="71">
        <v>0.7001991658208</v>
      </c>
      <c r="AH31" s="69">
        <f>AG31</f>
        <v>0.7001991658208</v>
      </c>
      <c r="AI31" s="65">
        <v>3.370586464046349E-2</v>
      </c>
      <c r="AJ31" s="65">
        <v>7.3205864640463497E-2</v>
      </c>
      <c r="AK31" s="65"/>
      <c r="AL31" s="56">
        <v>4.4000000000000004</v>
      </c>
      <c r="AM31" s="19">
        <v>0.4</v>
      </c>
      <c r="AN31" s="16"/>
      <c r="AO31" s="16"/>
      <c r="AP31" s="16"/>
      <c r="AQ31" s="16"/>
      <c r="AR31" s="51">
        <v>34.11</v>
      </c>
      <c r="AS31" s="51">
        <v>7.0000000000000007E-2</v>
      </c>
      <c r="AT31" s="22">
        <f>-19.264+0.558*AR31</f>
        <v>-0.23061999999999827</v>
      </c>
      <c r="AU31" s="22">
        <f>AT31-(-19.264+0.558*(AR31+AS31))</f>
        <v>-3.9059999999999206E-2</v>
      </c>
      <c r="AV31" s="22">
        <f>AVERAGE(N31)</f>
        <v>2.4105704022950931</v>
      </c>
      <c r="AW31" s="22">
        <v>0.04</v>
      </c>
      <c r="AX31" s="22">
        <f>AW31</f>
        <v>0.04</v>
      </c>
      <c r="AY31" s="60">
        <f>16.8-(4.38*(AV31-AT31))+(0.1*(AV31-AT31)^2)</f>
        <v>5.9291747120650715</v>
      </c>
      <c r="AZ31" s="22">
        <f>AY31-(16.8-(4.38*(AV31+AX31-AT31-AU31))+(0.1*(AV31-AX31-AT31+AU31)^2))</f>
        <v>0.38742025428108651</v>
      </c>
    </row>
    <row r="32" spans="1:52" x14ac:dyDescent="0.25">
      <c r="C32" s="1"/>
      <c r="T32" s="9"/>
      <c r="U32" s="34"/>
      <c r="V32" s="9"/>
      <c r="W32" s="34"/>
      <c r="X32" s="9"/>
      <c r="Y32" s="34"/>
      <c r="Z32" s="25"/>
      <c r="AA32" s="25"/>
      <c r="AB32" s="26"/>
      <c r="AC32" s="28"/>
      <c r="AD32" s="25"/>
      <c r="AE32" s="25"/>
      <c r="AF32" s="25"/>
      <c r="AG32" s="71"/>
      <c r="AH32" s="69"/>
      <c r="AI32" s="64"/>
      <c r="AJ32" s="64"/>
      <c r="AK32" s="64"/>
      <c r="AL32" s="55"/>
      <c r="AM32" s="18"/>
      <c r="AN32" s="15"/>
      <c r="AO32" s="15"/>
      <c r="AP32" s="15"/>
      <c r="AQ32" s="15"/>
    </row>
    <row r="33" spans="1:52" ht="18" customHeight="1" x14ac:dyDescent="0.25">
      <c r="A33" t="s">
        <v>49</v>
      </c>
      <c r="B33" t="s">
        <v>50</v>
      </c>
      <c r="C33" s="1">
        <v>43488</v>
      </c>
      <c r="D33" t="s">
        <v>51</v>
      </c>
      <c r="E33" t="s">
        <v>33</v>
      </c>
      <c r="F33" t="s">
        <v>161</v>
      </c>
      <c r="G33" s="33">
        <v>-0.43291142799999999</v>
      </c>
      <c r="H33" s="33">
        <v>2.7785332669999998</v>
      </c>
      <c r="I33" s="33">
        <v>2.256619814</v>
      </c>
      <c r="J33" s="33">
        <v>5.4824327820000001</v>
      </c>
      <c r="K33" s="33">
        <v>16.40688097</v>
      </c>
      <c r="L33" s="33">
        <v>1.4879055240000001</v>
      </c>
      <c r="M33" s="33">
        <v>38.580828480000001</v>
      </c>
      <c r="N33" s="33">
        <v>-0.7639711232134232</v>
      </c>
      <c r="O33" s="33">
        <v>0</v>
      </c>
      <c r="P33" s="33">
        <v>4.4399999999999998E-13</v>
      </c>
      <c r="Q33" s="37">
        <v>-2.726054E-2</v>
      </c>
      <c r="R33" s="33">
        <v>-8.1903124999999993E-2</v>
      </c>
      <c r="S33" s="33">
        <v>11.34645796</v>
      </c>
      <c r="T33" s="9">
        <v>36.1</v>
      </c>
      <c r="U33" s="34">
        <v>0.97701657600000003</v>
      </c>
      <c r="V33" s="9">
        <v>12</v>
      </c>
      <c r="W33" s="34">
        <v>9.8226514159999994</v>
      </c>
      <c r="X33" s="9">
        <v>6</v>
      </c>
      <c r="Y33" s="34">
        <v>-0.29935614700000002</v>
      </c>
      <c r="Z33" s="25">
        <v>1.0870752770000001</v>
      </c>
      <c r="AA33" s="25">
        <v>0.92198510199999995</v>
      </c>
      <c r="AB33" s="26">
        <v>0.65856243557832195</v>
      </c>
      <c r="AC33" s="25">
        <f>AVERAGE(AB33:AB35)</f>
        <v>0.65541909460448999</v>
      </c>
      <c r="AD33" s="25">
        <f>STDEV(AB33:AB35)</f>
        <v>2.944021457067561E-2</v>
      </c>
      <c r="AE33" s="25">
        <f>0.0337/SQRT(3)</f>
        <v>1.9456704071690391E-2</v>
      </c>
      <c r="AF33" s="25">
        <f>_xlfn.CONFIDENCE.T(0.05,AD33,3)</f>
        <v>7.3133547257036871E-2</v>
      </c>
      <c r="AG33" s="71">
        <v>0.69819402102299999</v>
      </c>
      <c r="AH33" s="68">
        <f>AVERAGE(AG33:AG35)</f>
        <v>0.69545959551206671</v>
      </c>
      <c r="AI33" s="64">
        <f>STDEV(AG33:AG35)</f>
        <v>3.3636794198502316E-2</v>
      </c>
      <c r="AJ33" s="64">
        <f>0.0732/SQRT(3)</f>
        <v>4.2262039704680607E-2</v>
      </c>
      <c r="AK33" s="64">
        <f>_xlfn.CONFIDENCE.T(0.05,AI33,3)</f>
        <v>8.3558428970884363E-2</v>
      </c>
      <c r="AL33" s="55">
        <v>23.3</v>
      </c>
      <c r="AM33" s="18">
        <v>3</v>
      </c>
      <c r="AN33" s="15">
        <v>2.8929999999999998</v>
      </c>
      <c r="AO33" s="21" t="s">
        <v>188</v>
      </c>
      <c r="AP33" s="15">
        <v>23.6</v>
      </c>
      <c r="AQ33" s="15">
        <v>1</v>
      </c>
      <c r="AR33" s="51">
        <v>36.9</v>
      </c>
      <c r="AS33" s="51">
        <v>0.05</v>
      </c>
      <c r="AT33" s="22">
        <f>-19.264+0.558*AR33</f>
        <v>1.3262</v>
      </c>
      <c r="AU33" s="22">
        <f>AT33-(-19.264+0.558*(AR33+AS33))</f>
        <v>-2.7899999999998926E-2</v>
      </c>
      <c r="AV33" s="22">
        <f>AVERAGE(N33:N35)</f>
        <v>-0.74049816821722436</v>
      </c>
      <c r="AW33" s="22">
        <f>STDEV(N33:N35)</f>
        <v>8.7946250944152274E-2</v>
      </c>
      <c r="AX33" s="22">
        <f>AW33/SQRT(3)</f>
        <v>5.0775791656824699E-2</v>
      </c>
      <c r="AY33" s="60">
        <f>16.8-(4.38*(AV33-AT33))+(0.1*(AV33-AT33)^2)</f>
        <v>26.279262108642687</v>
      </c>
      <c r="AZ33" s="22">
        <f>AY33-(16.8-(4.38*(AV33+AX33-AT33-AU33))+(0.1*(AV33-AX33-AT33+AU33)^2))</f>
        <v>0.31146115653756823</v>
      </c>
    </row>
    <row r="34" spans="1:52" x14ac:dyDescent="0.25">
      <c r="A34" t="s">
        <v>52</v>
      </c>
      <c r="B34" t="s">
        <v>50</v>
      </c>
      <c r="C34" s="1">
        <v>43489</v>
      </c>
      <c r="D34" t="s">
        <v>51</v>
      </c>
      <c r="E34" t="s">
        <v>33</v>
      </c>
      <c r="F34" t="s">
        <v>161</v>
      </c>
      <c r="G34" s="33">
        <v>-0.40762970700000001</v>
      </c>
      <c r="H34" s="33">
        <v>2.8996634750000001</v>
      </c>
      <c r="I34" s="33">
        <v>2.378626181</v>
      </c>
      <c r="J34" s="33">
        <v>5.804503295</v>
      </c>
      <c r="K34" s="33">
        <v>8.4380118520000007</v>
      </c>
      <c r="L34" s="33">
        <v>1.51053086</v>
      </c>
      <c r="M34" s="33">
        <v>38.706358520000002</v>
      </c>
      <c r="N34" s="33">
        <v>-0.64319704648482912</v>
      </c>
      <c r="O34" s="33">
        <v>0</v>
      </c>
      <c r="P34" s="33">
        <v>0</v>
      </c>
      <c r="Q34" s="37">
        <v>-5.0382811999999999E-2</v>
      </c>
      <c r="R34" s="33">
        <v>-3.2177149999999999E-3</v>
      </c>
      <c r="S34" s="33">
        <v>3.1520849360000001</v>
      </c>
      <c r="T34" s="9">
        <v>36.6</v>
      </c>
      <c r="U34" s="34">
        <v>0.97989193399999996</v>
      </c>
      <c r="V34" s="9">
        <v>12</v>
      </c>
      <c r="W34" s="34">
        <v>10.258126730000001</v>
      </c>
      <c r="X34" s="9">
        <v>6</v>
      </c>
      <c r="Y34" s="34">
        <v>-0.33065949900000002</v>
      </c>
      <c r="Z34" s="25">
        <v>1.0870752770000001</v>
      </c>
      <c r="AA34" s="25">
        <v>0.92198510199999995</v>
      </c>
      <c r="AB34" s="26">
        <v>0.62453333553189405</v>
      </c>
      <c r="AC34" s="25"/>
      <c r="AD34" s="25"/>
      <c r="AE34" s="25"/>
      <c r="AF34" s="25"/>
      <c r="AG34" s="71">
        <v>0.66053905040649996</v>
      </c>
      <c r="AH34" s="68"/>
      <c r="AI34" s="64"/>
      <c r="AJ34" s="64"/>
      <c r="AK34" s="64"/>
      <c r="AL34" s="55"/>
      <c r="AM34" s="18"/>
      <c r="AN34" s="15"/>
      <c r="AO34" s="15"/>
      <c r="AP34" s="15"/>
      <c r="AQ34" s="15"/>
    </row>
    <row r="35" spans="1:52" x14ac:dyDescent="0.25">
      <c r="A35" t="s">
        <v>121</v>
      </c>
      <c r="B35" t="s">
        <v>50</v>
      </c>
      <c r="C35" s="1">
        <v>43528</v>
      </c>
      <c r="D35" t="s">
        <v>51</v>
      </c>
      <c r="E35" t="s">
        <v>33</v>
      </c>
      <c r="F35" t="s">
        <v>161</v>
      </c>
      <c r="G35" s="33">
        <v>-0.39734091300000002</v>
      </c>
      <c r="H35" s="33">
        <v>2.7281338119999998</v>
      </c>
      <c r="I35" s="33">
        <v>2.2254175869999999</v>
      </c>
      <c r="J35" s="33">
        <v>5.3737314559999998</v>
      </c>
      <c r="K35" s="33">
        <v>47.708425259999999</v>
      </c>
      <c r="L35" s="33">
        <v>1.5279114570000001</v>
      </c>
      <c r="M35" s="33">
        <v>38.528490329999997</v>
      </c>
      <c r="N35" s="33">
        <v>-0.81432633495342088</v>
      </c>
      <c r="O35" s="33">
        <v>0</v>
      </c>
      <c r="P35" s="33">
        <v>2.2199999999999999E-13</v>
      </c>
      <c r="Q35" s="37">
        <v>-4.5688780999999998E-2</v>
      </c>
      <c r="R35" s="33">
        <v>-8.9494460999999997E-2</v>
      </c>
      <c r="S35" s="33">
        <v>42.555592089999998</v>
      </c>
      <c r="T35" s="9">
        <v>38.6</v>
      </c>
      <c r="U35" s="34">
        <v>0.98488563299999998</v>
      </c>
      <c r="V35" s="9">
        <v>84</v>
      </c>
      <c r="W35" s="34">
        <v>9.2890589840000004</v>
      </c>
      <c r="X35" s="9">
        <v>6</v>
      </c>
      <c r="Y35" s="34">
        <v>-0.28633797700000002</v>
      </c>
      <c r="Z35" s="25">
        <v>1.0882909510000001</v>
      </c>
      <c r="AA35" s="25">
        <v>0.93278054200000005</v>
      </c>
      <c r="AB35" s="26">
        <v>0.68316151270325398</v>
      </c>
      <c r="AC35" s="25"/>
      <c r="AD35" s="25"/>
      <c r="AE35" s="25"/>
      <c r="AF35" s="25"/>
      <c r="AG35" s="71">
        <v>0.72764571510669995</v>
      </c>
      <c r="AH35" s="68"/>
      <c r="AI35" s="64"/>
      <c r="AJ35" s="64"/>
      <c r="AK35" s="64"/>
      <c r="AL35" s="55"/>
      <c r="AM35" s="18"/>
      <c r="AN35" s="15"/>
      <c r="AO35" s="15"/>
      <c r="AP35" s="15"/>
      <c r="AQ35" s="15"/>
    </row>
    <row r="36" spans="1:52" x14ac:dyDescent="0.25">
      <c r="C36" s="1"/>
      <c r="T36" s="9"/>
      <c r="U36" s="34"/>
      <c r="V36" s="9"/>
      <c r="W36" s="34"/>
      <c r="X36" s="9"/>
      <c r="Y36" s="34"/>
      <c r="Z36" s="25"/>
      <c r="AA36" s="25"/>
      <c r="AB36" s="26"/>
      <c r="AC36" s="25"/>
      <c r="AD36" s="25"/>
      <c r="AE36" s="25"/>
      <c r="AF36" s="25"/>
      <c r="AG36" s="71"/>
      <c r="AH36" s="68"/>
      <c r="AI36" s="64"/>
      <c r="AJ36" s="64"/>
      <c r="AK36" s="64"/>
      <c r="AL36" s="55"/>
      <c r="AM36" s="18"/>
      <c r="AN36" s="15"/>
      <c r="AO36" s="15"/>
      <c r="AP36" s="15"/>
      <c r="AQ36" s="15"/>
    </row>
    <row r="37" spans="1:52" x14ac:dyDescent="0.25">
      <c r="A37" t="s">
        <v>53</v>
      </c>
      <c r="B37" t="s">
        <v>54</v>
      </c>
      <c r="C37" s="1">
        <v>43489</v>
      </c>
      <c r="D37" t="s">
        <v>51</v>
      </c>
      <c r="E37" t="s">
        <v>37</v>
      </c>
      <c r="F37" t="s">
        <v>162</v>
      </c>
      <c r="G37" s="33">
        <v>-1.101176873</v>
      </c>
      <c r="H37" s="33">
        <v>2.604172514</v>
      </c>
      <c r="I37" s="33">
        <v>1.365111706</v>
      </c>
      <c r="J37" s="33">
        <v>5.1535497719999999</v>
      </c>
      <c r="K37" s="33">
        <v>4.6578512500000002</v>
      </c>
      <c r="L37" s="33">
        <v>0.77780993899999995</v>
      </c>
      <c r="M37" s="33">
        <v>38.40161535</v>
      </c>
      <c r="N37" s="33">
        <v>-0.93639439586900153</v>
      </c>
      <c r="O37" s="33">
        <v>0</v>
      </c>
      <c r="P37" s="33">
        <v>-2.2199999999999999E-13</v>
      </c>
      <c r="Q37" s="37">
        <v>-5.6235251999999999E-2</v>
      </c>
      <c r="R37" s="33">
        <v>-6.1268546E-2</v>
      </c>
      <c r="S37" s="33">
        <v>0.71055012900000003</v>
      </c>
      <c r="T37" s="9">
        <v>39.1</v>
      </c>
      <c r="U37" s="34">
        <v>0.97989193399999996</v>
      </c>
      <c r="V37" s="9">
        <v>12</v>
      </c>
      <c r="W37" s="34">
        <v>10.258126730000001</v>
      </c>
      <c r="X37" s="9">
        <v>6</v>
      </c>
      <c r="Y37" s="34">
        <v>-0.31859143400000001</v>
      </c>
      <c r="Z37" s="25">
        <v>1.0870752770000001</v>
      </c>
      <c r="AA37" s="25">
        <v>0.92198510199999995</v>
      </c>
      <c r="AB37" s="26">
        <v>0.63765223063462295</v>
      </c>
      <c r="AC37" s="25">
        <f>AVERAGE(AB37:AB38)</f>
        <v>0.6490688876060009</v>
      </c>
      <c r="AD37" s="25">
        <f>STDEV(AB37:AB38)</f>
        <v>1.6145591125884116E-2</v>
      </c>
      <c r="AE37" s="25">
        <f>0.0337058646404635/SQRT(2)</f>
        <v>2.3833645453027609E-2</v>
      </c>
      <c r="AF37" s="25">
        <f>_xlfn.CONFIDENCE.T(0.05,AD37,2)</f>
        <v>0.14506238088100518</v>
      </c>
      <c r="AG37" s="71">
        <v>0.67509576428700002</v>
      </c>
      <c r="AH37" s="68">
        <f>AVERAGE(AG37:AG38)</f>
        <v>0.6877276234395</v>
      </c>
      <c r="AI37" s="64">
        <f>STDEV(AG37:AG38)</f>
        <v>1.7864146531452182E-2</v>
      </c>
      <c r="AJ37" s="64">
        <f>0.0732058646404635/SQRT(2)</f>
        <v>5.1764363309896234E-2</v>
      </c>
      <c r="AK37" s="64">
        <f>_xlfn.CONFIDENCE.T(0.05,AI37,2)</f>
        <v>0.16050298859018705</v>
      </c>
      <c r="AL37" s="55">
        <v>23.2</v>
      </c>
      <c r="AM37" s="18">
        <v>1.6</v>
      </c>
      <c r="AN37" s="15">
        <v>3.02</v>
      </c>
      <c r="AO37" s="15" t="s">
        <v>189</v>
      </c>
      <c r="AP37" s="15">
        <v>23</v>
      </c>
      <c r="AQ37" s="15">
        <v>2.5</v>
      </c>
      <c r="AR37" s="51">
        <v>36.9</v>
      </c>
      <c r="AS37" s="51">
        <v>0.1</v>
      </c>
      <c r="AT37" s="22">
        <f>-19.264+0.558*AR37</f>
        <v>1.3262</v>
      </c>
      <c r="AU37" s="22">
        <f>AT37-(-19.264+0.558*(AR37+AS37))</f>
        <v>-5.5800000000001404E-2</v>
      </c>
      <c r="AV37" s="22">
        <f>AVERAGE(N37:N38)</f>
        <v>-0.99159642476018917</v>
      </c>
      <c r="AW37" s="22">
        <f>STDEV(N37:N38)</f>
        <v>7.8067457928428979E-2</v>
      </c>
      <c r="AX37" s="22">
        <f>AW37/SQRT(2)</f>
        <v>5.5202028891187631E-2</v>
      </c>
      <c r="AY37" s="60">
        <f>16.8-(4.38*(AV37-AT37))+(0.1*(AV37-AT37)^2)</f>
        <v>27.489166367112741</v>
      </c>
      <c r="AZ37" s="22">
        <f>AY37-(16.8-(4.38*(AV37+AX37-AT37-AU37))+(0.1*(AV37-AX37-AT37+AU37)^2))</f>
        <v>0.43350072036058407</v>
      </c>
    </row>
    <row r="38" spans="1:52" x14ac:dyDescent="0.25">
      <c r="A38" t="s">
        <v>55</v>
      </c>
      <c r="B38" t="s">
        <v>54</v>
      </c>
      <c r="C38" s="1">
        <v>43495</v>
      </c>
      <c r="D38" t="s">
        <v>51</v>
      </c>
      <c r="E38" t="s">
        <v>37</v>
      </c>
      <c r="F38" t="s">
        <v>162</v>
      </c>
      <c r="G38" s="33">
        <v>-1.1002223609999999</v>
      </c>
      <c r="H38" s="33">
        <v>2.4934973789999999</v>
      </c>
      <c r="I38" s="33">
        <v>1.257038232</v>
      </c>
      <c r="J38" s="33">
        <v>4.928314802</v>
      </c>
      <c r="K38" s="33">
        <v>5.0622807730000003</v>
      </c>
      <c r="L38" s="33">
        <v>0.78293008200000003</v>
      </c>
      <c r="M38" s="33">
        <v>38.286863689999997</v>
      </c>
      <c r="N38" s="33">
        <v>-1.0467984536513768</v>
      </c>
      <c r="O38" s="33">
        <v>0</v>
      </c>
      <c r="P38" s="33">
        <v>4.4399999999999998E-13</v>
      </c>
      <c r="Q38" s="37">
        <v>-5.6618333999999999E-2</v>
      </c>
      <c r="R38" s="33">
        <v>-6.4586047999999993E-2</v>
      </c>
      <c r="S38" s="33">
        <v>1.3295663870000001</v>
      </c>
      <c r="T38" s="9">
        <v>39</v>
      </c>
      <c r="U38" s="34">
        <v>0.94765312899999998</v>
      </c>
      <c r="V38" s="9">
        <v>24</v>
      </c>
      <c r="W38" s="34">
        <v>9.3977810809999998</v>
      </c>
      <c r="X38" s="9">
        <v>6</v>
      </c>
      <c r="Y38" s="34">
        <v>-0.29758708</v>
      </c>
      <c r="Z38" s="25">
        <v>1.0870752770000001</v>
      </c>
      <c r="AA38" s="25">
        <v>0.92198510199999995</v>
      </c>
      <c r="AB38" s="26">
        <v>0.66048554457737896</v>
      </c>
      <c r="AC38" s="25"/>
      <c r="AD38" s="25"/>
      <c r="AE38" s="25"/>
      <c r="AF38" s="25"/>
      <c r="AG38" s="71">
        <v>0.70035948259199998</v>
      </c>
      <c r="AH38" s="68"/>
      <c r="AI38" s="64"/>
      <c r="AJ38" s="64"/>
      <c r="AK38" s="64"/>
      <c r="AL38" s="55"/>
      <c r="AM38" s="18"/>
      <c r="AN38" s="15"/>
      <c r="AO38" s="15"/>
      <c r="AP38" s="15"/>
      <c r="AQ38" s="15"/>
    </row>
    <row r="39" spans="1:52" x14ac:dyDescent="0.25">
      <c r="C39" s="1"/>
      <c r="T39" s="9"/>
      <c r="U39" s="34"/>
      <c r="V39" s="9"/>
      <c r="W39" s="34"/>
      <c r="X39" s="9"/>
      <c r="Y39" s="34"/>
      <c r="Z39" s="25"/>
      <c r="AA39" s="25"/>
      <c r="AB39" s="26"/>
      <c r="AC39" s="25"/>
      <c r="AD39" s="25"/>
      <c r="AE39" s="25"/>
      <c r="AF39" s="25"/>
      <c r="AG39" s="71"/>
      <c r="AH39" s="68"/>
      <c r="AI39" s="64"/>
      <c r="AJ39" s="64"/>
      <c r="AK39" s="64"/>
      <c r="AL39" s="55"/>
      <c r="AM39" s="18"/>
      <c r="AN39" s="15"/>
      <c r="AO39" s="15"/>
      <c r="AP39" s="15"/>
      <c r="AQ39" s="15"/>
    </row>
    <row r="40" spans="1:52" x14ac:dyDescent="0.25">
      <c r="A40" t="s">
        <v>56</v>
      </c>
      <c r="B40" t="s">
        <v>57</v>
      </c>
      <c r="C40" s="1">
        <v>43493</v>
      </c>
      <c r="D40" t="s">
        <v>51</v>
      </c>
      <c r="E40" t="s">
        <v>41</v>
      </c>
      <c r="F40" t="s">
        <v>161</v>
      </c>
      <c r="G40" s="33">
        <v>-0.92679099899999995</v>
      </c>
      <c r="H40" s="33">
        <v>2.5748044129999998</v>
      </c>
      <c r="I40" s="33">
        <v>1.5355033119999999</v>
      </c>
      <c r="J40" s="33">
        <v>5.1456157869999997</v>
      </c>
      <c r="K40" s="33">
        <v>46.426653870000003</v>
      </c>
      <c r="L40" s="33">
        <v>0.96588263799999996</v>
      </c>
      <c r="M40" s="33">
        <v>38.370757410000003</v>
      </c>
      <c r="N40" s="33">
        <v>-0.96608321946257547</v>
      </c>
      <c r="O40" s="33">
        <v>0</v>
      </c>
      <c r="P40" s="33">
        <v>4.4399999999999998E-13</v>
      </c>
      <c r="Q40" s="37">
        <v>-3.7384025000000001E-2</v>
      </c>
      <c r="R40" s="33">
        <v>-1.0577573E-2</v>
      </c>
      <c r="S40" s="33">
        <v>42.181340820000003</v>
      </c>
      <c r="T40" s="9">
        <v>38</v>
      </c>
      <c r="U40" s="34">
        <v>0.97538351400000001</v>
      </c>
      <c r="V40" s="9">
        <v>20</v>
      </c>
      <c r="W40" s="34">
        <v>10.08120598</v>
      </c>
      <c r="X40" s="9">
        <v>6</v>
      </c>
      <c r="Y40" s="34">
        <v>-0.30267891899999999</v>
      </c>
      <c r="Z40" s="25">
        <v>1.0870752770000001</v>
      </c>
      <c r="AA40" s="25">
        <v>0.92198510199999995</v>
      </c>
      <c r="AB40" s="26">
        <v>0.65495033228601396</v>
      </c>
      <c r="AC40" s="25">
        <f>AVERAGE(AB40:AB42)</f>
        <v>0.65092870216581367</v>
      </c>
      <c r="AD40" s="25">
        <f>STDEV(AB40:AB42)</f>
        <v>7.2129939273376893E-3</v>
      </c>
      <c r="AE40" s="25">
        <f>0.0337/SQRT(3)</f>
        <v>1.9456704071690391E-2</v>
      </c>
      <c r="AF40" s="25">
        <f>_xlfn.CONFIDENCE.T(0.05,AD40,3)</f>
        <v>1.7918070229525681E-2</v>
      </c>
      <c r="AG40" s="71">
        <v>0.69422400814649998</v>
      </c>
      <c r="AH40" s="68">
        <f>AVERAGE(AG40:AG42)</f>
        <v>0.69051488192816668</v>
      </c>
      <c r="AI40" s="64">
        <f>STDEV(AG40:AG42)</f>
        <v>8.6492025175515744E-3</v>
      </c>
      <c r="AJ40" s="64">
        <f>0.0732/SQRT(3)</f>
        <v>4.2262039704680607E-2</v>
      </c>
      <c r="AK40" s="64">
        <f>_xlfn.CONFIDENCE.T(0.05,AI40,3)</f>
        <v>2.1485810150415771E-2</v>
      </c>
      <c r="AL40" s="55">
        <v>23.3</v>
      </c>
      <c r="AM40" s="18">
        <v>1.5</v>
      </c>
      <c r="AN40" s="15"/>
      <c r="AO40" s="15"/>
      <c r="AP40" s="15"/>
      <c r="AQ40" s="15"/>
      <c r="AR40" s="51">
        <v>36.090000000000003</v>
      </c>
      <c r="AS40" s="51">
        <v>0.02</v>
      </c>
      <c r="AT40" s="22">
        <f>-19.264+0.558*AR40</f>
        <v>0.87422000000000466</v>
      </c>
      <c r="AU40" s="22">
        <f>AT40-(-19.264+0.558*(AR40+AS40))</f>
        <v>-1.1160000000000281E-2</v>
      </c>
      <c r="AV40" s="22">
        <f>AVERAGE(N40:N42)</f>
        <v>-1.018512919896807</v>
      </c>
      <c r="AW40" s="22">
        <f>STDEV(N40:N42)</f>
        <v>5.4054748125089785E-2</v>
      </c>
      <c r="AX40" s="22">
        <f>AW40/SQRT(3)</f>
        <v>3.1208523380998009E-2</v>
      </c>
      <c r="AY40" s="60">
        <f>16.8-(4.38*(AV40-AT40))+(0.1*(AV40-AT40)^2)</f>
        <v>25.448413979754147</v>
      </c>
      <c r="AZ40" s="22">
        <f>AY40-(16.8-(4.38*(AV40+AX40-AT40-AU40))+(0.1*(AV40-AX40-AT40+AU40)^2))</f>
        <v>0.1693561634372962</v>
      </c>
    </row>
    <row r="41" spans="1:52" x14ac:dyDescent="0.25">
      <c r="A41" t="s">
        <v>58</v>
      </c>
      <c r="B41" t="s">
        <v>57</v>
      </c>
      <c r="C41" s="1">
        <v>43495</v>
      </c>
      <c r="D41" t="s">
        <v>51</v>
      </c>
      <c r="E41" t="s">
        <v>41</v>
      </c>
      <c r="F41" t="s">
        <v>161</v>
      </c>
      <c r="G41" s="33">
        <v>-0.88232582000000004</v>
      </c>
      <c r="H41" s="33">
        <v>2.5254685139999999</v>
      </c>
      <c r="I41" s="33">
        <v>1.513821195</v>
      </c>
      <c r="J41" s="33">
        <v>4.9835959399999998</v>
      </c>
      <c r="K41" s="33">
        <v>8.52969285</v>
      </c>
      <c r="L41" s="33">
        <v>1.0153867050000001</v>
      </c>
      <c r="M41" s="33">
        <v>38.319501109999997</v>
      </c>
      <c r="N41" s="33">
        <v>-1.015397569310835</v>
      </c>
      <c r="O41" s="33">
        <v>0</v>
      </c>
      <c r="P41" s="33">
        <v>0</v>
      </c>
      <c r="Q41" s="37">
        <v>-5.6565179E-2</v>
      </c>
      <c r="R41" s="33">
        <v>-7.3357116E-2</v>
      </c>
      <c r="S41" s="33">
        <v>4.4876180540000004</v>
      </c>
      <c r="T41" s="9">
        <v>36.5</v>
      </c>
      <c r="U41" s="34">
        <v>0.94765312899999998</v>
      </c>
      <c r="V41" s="9">
        <v>24</v>
      </c>
      <c r="W41" s="34">
        <v>9.3977810809999998</v>
      </c>
      <c r="X41" s="9">
        <v>6</v>
      </c>
      <c r="Y41" s="34">
        <v>-0.31403863300000001</v>
      </c>
      <c r="Z41" s="25">
        <v>1.0870752770000001</v>
      </c>
      <c r="AA41" s="25">
        <v>0.92198510199999995</v>
      </c>
      <c r="AB41" s="26">
        <v>0.64260146804282403</v>
      </c>
      <c r="AC41" s="25"/>
      <c r="AD41" s="25"/>
      <c r="AE41" s="25"/>
      <c r="AF41" s="25"/>
      <c r="AG41" s="71">
        <v>0.68062972163000002</v>
      </c>
      <c r="AH41" s="68"/>
      <c r="AI41" s="64"/>
      <c r="AJ41" s="64"/>
      <c r="AK41" s="64"/>
      <c r="AL41" s="55"/>
      <c r="AM41" s="18"/>
      <c r="AN41" s="15"/>
      <c r="AO41" s="15"/>
      <c r="AP41" s="15"/>
      <c r="AQ41" s="15"/>
    </row>
    <row r="42" spans="1:52" x14ac:dyDescent="0.25">
      <c r="A42" t="s">
        <v>122</v>
      </c>
      <c r="B42" t="s">
        <v>57</v>
      </c>
      <c r="C42" s="1">
        <v>43528</v>
      </c>
      <c r="D42" t="s">
        <v>51</v>
      </c>
      <c r="E42" t="s">
        <v>41</v>
      </c>
      <c r="F42" t="s">
        <v>161</v>
      </c>
      <c r="G42" s="33">
        <v>-0.81012546799999996</v>
      </c>
      <c r="H42" s="33">
        <v>2.4668261139999998</v>
      </c>
      <c r="I42" s="33">
        <v>1.5224869510000001</v>
      </c>
      <c r="J42" s="33">
        <v>4.8415133130000001</v>
      </c>
      <c r="K42" s="33">
        <v>36.378024500000002</v>
      </c>
      <c r="L42" s="33">
        <v>1.0949744130000001</v>
      </c>
      <c r="M42" s="33">
        <v>38.258530720000003</v>
      </c>
      <c r="N42" s="33">
        <v>-1.0740579709170106</v>
      </c>
      <c r="O42" s="33">
        <v>0</v>
      </c>
      <c r="P42" s="33">
        <v>0</v>
      </c>
      <c r="Q42" s="37">
        <v>-6.4950062000000003E-2</v>
      </c>
      <c r="R42" s="33">
        <v>-9.7749620999999995E-2</v>
      </c>
      <c r="S42" s="33">
        <v>32.263500180000001</v>
      </c>
      <c r="T42" s="9">
        <v>37.6</v>
      </c>
      <c r="U42" s="34">
        <v>0.98488563299999998</v>
      </c>
      <c r="V42" s="9">
        <v>84</v>
      </c>
      <c r="W42" s="34">
        <v>9.2890589840000004</v>
      </c>
      <c r="X42" s="9">
        <v>6</v>
      </c>
      <c r="Y42" s="34">
        <v>-0.31199950300000001</v>
      </c>
      <c r="Z42" s="25">
        <v>1.0882909510000001</v>
      </c>
      <c r="AA42" s="25">
        <v>0.93278054200000005</v>
      </c>
      <c r="AB42" s="26">
        <v>0.65523430616860301</v>
      </c>
      <c r="AC42" s="25"/>
      <c r="AD42" s="25"/>
      <c r="AE42" s="25"/>
      <c r="AF42" s="25"/>
      <c r="AG42" s="71">
        <v>0.69669091600800004</v>
      </c>
      <c r="AH42" s="68"/>
      <c r="AI42" s="64"/>
      <c r="AJ42" s="64"/>
      <c r="AK42" s="64"/>
      <c r="AL42" s="55"/>
      <c r="AM42" s="18"/>
      <c r="AN42" s="15"/>
      <c r="AO42" s="15"/>
      <c r="AP42" s="15"/>
      <c r="AQ42" s="15"/>
    </row>
    <row r="43" spans="1:52" x14ac:dyDescent="0.25">
      <c r="C43" s="1"/>
      <c r="T43" s="9"/>
      <c r="U43" s="34"/>
      <c r="V43" s="9"/>
      <c r="W43" s="34"/>
      <c r="X43" s="9"/>
      <c r="Y43" s="34"/>
      <c r="Z43" s="25"/>
      <c r="AA43" s="25"/>
      <c r="AB43" s="26"/>
      <c r="AC43" s="25"/>
      <c r="AD43" s="25"/>
      <c r="AE43" s="25"/>
      <c r="AF43" s="25"/>
      <c r="AG43" s="71"/>
      <c r="AH43" s="68"/>
      <c r="AI43" s="64"/>
      <c r="AJ43" s="64"/>
      <c r="AK43" s="64"/>
      <c r="AL43" s="55"/>
      <c r="AM43" s="18"/>
      <c r="AN43" s="15"/>
      <c r="AO43" s="15"/>
      <c r="AP43" s="15"/>
      <c r="AQ43" s="15"/>
    </row>
    <row r="44" spans="1:52" x14ac:dyDescent="0.25">
      <c r="A44" t="s">
        <v>59</v>
      </c>
      <c r="B44" t="s">
        <v>60</v>
      </c>
      <c r="C44" s="1">
        <v>43490</v>
      </c>
      <c r="D44" t="s">
        <v>51</v>
      </c>
      <c r="E44" t="s">
        <v>61</v>
      </c>
      <c r="F44" t="s">
        <v>162</v>
      </c>
      <c r="G44" s="33">
        <v>-2.7849181930000002</v>
      </c>
      <c r="H44" s="33">
        <v>3.3106708660000002</v>
      </c>
      <c r="I44" s="33">
        <v>0.32250639399999997</v>
      </c>
      <c r="J44" s="33">
        <v>6.5526544720000004</v>
      </c>
      <c r="K44" s="33">
        <v>10.28875541</v>
      </c>
      <c r="L44" s="33">
        <v>-1.0537317100000001</v>
      </c>
      <c r="M44" s="33">
        <v>39.13806992</v>
      </c>
      <c r="N44" s="33">
        <v>-0.36664408310662111</v>
      </c>
      <c r="O44" s="33">
        <v>0</v>
      </c>
      <c r="P44" s="33">
        <v>-2.2199999999999999E-13</v>
      </c>
      <c r="Q44" s="37">
        <v>-4.9977226999999999E-2</v>
      </c>
      <c r="R44" s="33">
        <v>-7.9149915000000001E-2</v>
      </c>
      <c r="S44" s="33">
        <v>6.7358907950000004</v>
      </c>
      <c r="T44" s="9">
        <v>37.700000000000003</v>
      </c>
      <c r="U44" s="34">
        <v>0.94765312899999998</v>
      </c>
      <c r="V44" s="9">
        <v>14</v>
      </c>
      <c r="W44" s="34">
        <v>9.3977810809999998</v>
      </c>
      <c r="X44" s="9">
        <v>6</v>
      </c>
      <c r="Y44" s="34">
        <v>-0.29925523999999998</v>
      </c>
      <c r="Z44" s="25">
        <v>1.0870752770000001</v>
      </c>
      <c r="AA44" s="25">
        <v>0.92198510199999995</v>
      </c>
      <c r="AB44" s="26">
        <v>0.65867212908329797</v>
      </c>
      <c r="AC44" s="25">
        <f>AB44</f>
        <v>0.65867212908329797</v>
      </c>
      <c r="AD44" s="25">
        <v>3.370586464046349E-2</v>
      </c>
      <c r="AE44" s="25">
        <v>3.370586464046349E-2</v>
      </c>
      <c r="AF44" s="25"/>
      <c r="AG44" s="71">
        <v>0.69831432444349995</v>
      </c>
      <c r="AH44" s="68">
        <f>AG44</f>
        <v>0.69831432444349995</v>
      </c>
      <c r="AI44" s="64">
        <v>3.370586464046349E-2</v>
      </c>
      <c r="AJ44" s="64">
        <v>7.3205864640463497E-2</v>
      </c>
      <c r="AK44" s="64"/>
      <c r="AL44" s="55">
        <v>20.9</v>
      </c>
      <c r="AM44" s="18">
        <v>3.9</v>
      </c>
      <c r="AN44" s="15"/>
      <c r="AO44" s="15"/>
      <c r="AP44" s="15"/>
      <c r="AQ44" s="15"/>
      <c r="AR44" s="51">
        <v>36.9</v>
      </c>
      <c r="AS44" s="51">
        <v>0.4</v>
      </c>
      <c r="AT44" s="22">
        <f>-19.264+0.558*AR44</f>
        <v>1.3262</v>
      </c>
      <c r="AU44" s="22">
        <f>AT44-(-19.264+0.558*(AR44+AS44))</f>
        <v>-0.22320000000000206</v>
      </c>
      <c r="AV44" s="22">
        <f>AVERAGE(N44)</f>
        <v>-0.36664408310662111</v>
      </c>
      <c r="AW44" s="22">
        <v>0.04</v>
      </c>
      <c r="AX44" s="22">
        <f>AW44</f>
        <v>0.04</v>
      </c>
      <c r="AY44" s="60">
        <f>16.8-(4.38*(AV44-AT44))+(0.1*(AV44-AT44)^2)</f>
        <v>24.50122919297791</v>
      </c>
      <c r="AZ44" s="22">
        <f>AY44-(16.8-(4.38*(AV44+AX44-AT44-AU44))+(0.1*(AV44-AX44-AT44+AU44)^2))</f>
        <v>1.0567772634652748</v>
      </c>
    </row>
    <row r="45" spans="1:52" x14ac:dyDescent="0.25">
      <c r="C45" s="1"/>
      <c r="T45" s="9"/>
      <c r="U45" s="34"/>
      <c r="V45" s="9"/>
      <c r="W45" s="34"/>
      <c r="X45" s="9"/>
      <c r="Y45" s="34"/>
      <c r="Z45" s="25"/>
      <c r="AA45" s="25"/>
      <c r="AB45" s="26"/>
      <c r="AC45" s="25"/>
      <c r="AD45" s="25"/>
      <c r="AE45" s="25"/>
      <c r="AF45" s="25"/>
      <c r="AG45" s="71"/>
      <c r="AH45" s="68"/>
      <c r="AI45" s="64"/>
      <c r="AJ45" s="64"/>
      <c r="AK45" s="64"/>
      <c r="AL45" s="55"/>
      <c r="AM45" s="18"/>
      <c r="AN45" s="15"/>
      <c r="AO45" s="15"/>
      <c r="AP45" s="15"/>
      <c r="AQ45" s="15"/>
    </row>
    <row r="46" spans="1:52" x14ac:dyDescent="0.25">
      <c r="A46" t="s">
        <v>62</v>
      </c>
      <c r="B46" t="s">
        <v>63</v>
      </c>
      <c r="C46" s="1">
        <v>43494</v>
      </c>
      <c r="D46" t="s">
        <v>51</v>
      </c>
      <c r="E46" t="s">
        <v>29</v>
      </c>
      <c r="F46" t="s">
        <v>161</v>
      </c>
      <c r="G46" s="33">
        <v>-1.513230812</v>
      </c>
      <c r="H46" s="33">
        <v>3.9632537619999999</v>
      </c>
      <c r="I46" s="33">
        <v>2.2522156080000002</v>
      </c>
      <c r="J46" s="33">
        <v>7.9331942209999999</v>
      </c>
      <c r="K46" s="33">
        <v>17.42735141</v>
      </c>
      <c r="L46" s="33">
        <v>0.28569486300000002</v>
      </c>
      <c r="M46" s="33">
        <v>39.811695499999999</v>
      </c>
      <c r="N46" s="33">
        <v>0.28136983015679107</v>
      </c>
      <c r="O46" s="33">
        <v>0</v>
      </c>
      <c r="P46" s="33">
        <v>-2.2199999999999999E-13</v>
      </c>
      <c r="Q46" s="37">
        <v>-7.6865299999999998E-2</v>
      </c>
      <c r="R46" s="33">
        <v>-8.9648590000000004E-3</v>
      </c>
      <c r="S46" s="33">
        <v>11.180364989999999</v>
      </c>
      <c r="T46" s="9">
        <v>39.6</v>
      </c>
      <c r="U46" s="34">
        <v>0.94765312899999998</v>
      </c>
      <c r="V46" s="9">
        <v>22</v>
      </c>
      <c r="W46" s="34">
        <v>9.3977810809999998</v>
      </c>
      <c r="X46" s="9">
        <v>6</v>
      </c>
      <c r="Y46" s="34">
        <v>-0.31418300399999999</v>
      </c>
      <c r="Z46" s="25">
        <v>1.0870752770000001</v>
      </c>
      <c r="AA46" s="25">
        <v>0.92198510199999995</v>
      </c>
      <c r="AB46" s="26">
        <v>0.64244452589800805</v>
      </c>
      <c r="AC46" s="25">
        <f>AVERAGE(AB46:AB48)</f>
        <v>0.66522614579888106</v>
      </c>
      <c r="AD46" s="25">
        <f>STDEV(AB46:AB48)</f>
        <v>5.6680818532317795E-2</v>
      </c>
      <c r="AE46" s="25">
        <f>0.0337058646404635/SQRT(4)</f>
        <v>1.6852932320231748E-2</v>
      </c>
      <c r="AF46" s="25">
        <f>_xlfn.CONFIDENCE.T(0.05,AD46,3)</f>
        <v>0.14080295884900768</v>
      </c>
      <c r="AG46" s="71">
        <v>0.68038911478899999</v>
      </c>
      <c r="AH46" s="68">
        <f>AVERAGE(AG46:AG48)</f>
        <v>0.70634744415083339</v>
      </c>
      <c r="AI46" s="64">
        <f>STDEV(AG46:AG48)</f>
        <v>6.395176055045064E-2</v>
      </c>
      <c r="AJ46" s="64">
        <f>0.0732058646404635/SQRT(4)</f>
        <v>3.6602932320231749E-2</v>
      </c>
      <c r="AK46" s="64">
        <f>_xlfn.CONFIDENCE.T(0.05,AI46,3)</f>
        <v>0.15886498011620154</v>
      </c>
      <c r="AL46" s="55">
        <v>13.5</v>
      </c>
      <c r="AM46" s="18">
        <v>2.2999999999999998</v>
      </c>
      <c r="AN46" s="15"/>
      <c r="AO46" s="15"/>
      <c r="AP46" s="15"/>
      <c r="AQ46" s="15"/>
      <c r="AR46" s="51">
        <v>35.5</v>
      </c>
      <c r="AS46" s="51">
        <v>1.7</v>
      </c>
      <c r="AT46" s="22">
        <f>-19.264+0.558*AR46</f>
        <v>0.54500000000000171</v>
      </c>
      <c r="AU46" s="22">
        <f>AT46-(-19.264+0.558*(AR46+AS46))</f>
        <v>-0.94860000000000255</v>
      </c>
      <c r="AV46" s="22">
        <f>AVERAGE(N46:N49)</f>
        <v>0.42277486982874279</v>
      </c>
      <c r="AW46" s="22">
        <f>STDEV(N46:N49)</f>
        <v>0.24239835097012161</v>
      </c>
      <c r="AX46" s="22">
        <f>AW46/SQRT(4)</f>
        <v>0.1211991754850608</v>
      </c>
      <c r="AY46" s="60">
        <f>16.8-(4.38*(AV46-AT46))+(0.1*(AV46-AT46)^2)</f>
        <v>17.336839968394653</v>
      </c>
      <c r="AZ46" s="22">
        <f>AY46-(16.8-(4.38*(AV46+AX46-AT46-AU46))+(0.1*(AV46-AX46-AT46+AU46)^2))</f>
        <v>4.5451220923415701</v>
      </c>
    </row>
    <row r="47" spans="1:52" x14ac:dyDescent="0.25">
      <c r="A47" t="s">
        <v>64</v>
      </c>
      <c r="B47" t="s">
        <v>63</v>
      </c>
      <c r="C47" s="1">
        <v>43496</v>
      </c>
      <c r="D47" t="s">
        <v>51</v>
      </c>
      <c r="E47" t="s">
        <v>29</v>
      </c>
      <c r="F47" t="s">
        <v>161</v>
      </c>
      <c r="G47" s="33">
        <v>-1.5570280139999999</v>
      </c>
      <c r="H47" s="33">
        <v>4.0372464380000004</v>
      </c>
      <c r="I47" s="33">
        <v>2.3474562639999998</v>
      </c>
      <c r="J47" s="33">
        <v>8.0162946880000003</v>
      </c>
      <c r="K47" s="33">
        <v>6.3401470440000001</v>
      </c>
      <c r="L47" s="33">
        <v>0.235996227</v>
      </c>
      <c r="M47" s="33">
        <v>39.888514890000003</v>
      </c>
      <c r="N47" s="33">
        <v>0.35526849880352529</v>
      </c>
      <c r="O47" s="33">
        <v>0</v>
      </c>
      <c r="P47" s="33">
        <v>-2.2199999999999999E-13</v>
      </c>
      <c r="Q47" s="37">
        <v>-9.0452320000000003E-3</v>
      </c>
      <c r="R47" s="33">
        <v>-7.3915318999999993E-2</v>
      </c>
      <c r="S47" s="33">
        <v>6.3159635000000006E-2</v>
      </c>
      <c r="T47" s="9">
        <v>31.8</v>
      </c>
      <c r="U47" s="34">
        <v>0.97989193399999996</v>
      </c>
      <c r="V47" s="9">
        <v>26</v>
      </c>
      <c r="W47" s="34">
        <v>10.258126730000001</v>
      </c>
      <c r="X47" s="9">
        <v>6</v>
      </c>
      <c r="Y47" s="34">
        <v>-0.33162783400000001</v>
      </c>
      <c r="Z47" s="25">
        <v>1.0870752770000001</v>
      </c>
      <c r="AA47" s="25">
        <v>0.92198510199999995</v>
      </c>
      <c r="AB47" s="26">
        <v>0.62348068249354005</v>
      </c>
      <c r="AC47" s="25"/>
      <c r="AD47" s="25"/>
      <c r="AE47" s="25"/>
      <c r="AF47" s="25"/>
      <c r="AG47" s="71">
        <v>0.65945631962200002</v>
      </c>
      <c r="AH47" s="68"/>
      <c r="AI47" s="64"/>
      <c r="AJ47" s="64"/>
      <c r="AK47" s="64"/>
      <c r="AL47" s="55"/>
      <c r="AM47" s="18"/>
      <c r="AN47" s="15"/>
      <c r="AO47" s="15"/>
      <c r="AP47" s="15"/>
      <c r="AQ47" s="15"/>
    </row>
    <row r="48" spans="1:52" x14ac:dyDescent="0.25">
      <c r="A48" t="s">
        <v>123</v>
      </c>
      <c r="B48" t="s">
        <v>63</v>
      </c>
      <c r="C48" s="1">
        <v>43529</v>
      </c>
      <c r="D48" t="s">
        <v>51</v>
      </c>
      <c r="E48" t="s">
        <v>29</v>
      </c>
      <c r="F48" t="s">
        <v>161</v>
      </c>
      <c r="G48" s="33">
        <v>-1.576209722</v>
      </c>
      <c r="H48" s="33">
        <v>3.9540991939999999</v>
      </c>
      <c r="I48" s="33">
        <v>2.2724901649999998</v>
      </c>
      <c r="J48" s="33">
        <v>7.8807663259999998</v>
      </c>
      <c r="K48" s="33">
        <v>62.018444039999999</v>
      </c>
      <c r="L48" s="33">
        <v>0.218504216</v>
      </c>
      <c r="M48" s="33">
        <v>39.802351620000003</v>
      </c>
      <c r="N48" s="33">
        <v>0.27238121033042262</v>
      </c>
      <c r="O48" s="33">
        <v>0</v>
      </c>
      <c r="P48" s="33">
        <v>0</v>
      </c>
      <c r="Q48" s="37">
        <v>1.7402465999999998E-2</v>
      </c>
      <c r="R48" s="33">
        <v>-4.2744224999999997E-2</v>
      </c>
      <c r="S48" s="33">
        <v>55.587544350000002</v>
      </c>
      <c r="T48" s="9">
        <v>35.6</v>
      </c>
      <c r="U48" s="34">
        <v>0.98488563299999998</v>
      </c>
      <c r="V48" s="9">
        <v>86</v>
      </c>
      <c r="W48" s="34">
        <v>9.2890589840000004</v>
      </c>
      <c r="X48" s="9">
        <v>6</v>
      </c>
      <c r="Y48" s="34">
        <v>-0.24352615699999999</v>
      </c>
      <c r="Z48" s="25">
        <v>1.0882909510000001</v>
      </c>
      <c r="AA48" s="25">
        <v>0.93278054200000005</v>
      </c>
      <c r="AB48" s="26">
        <v>0.72975322900509498</v>
      </c>
      <c r="AC48" s="25"/>
      <c r="AD48" s="25"/>
      <c r="AE48" s="25"/>
      <c r="AF48" s="25"/>
      <c r="AG48" s="71">
        <v>0.77919689804150005</v>
      </c>
      <c r="AH48" s="68"/>
      <c r="AI48" s="64"/>
      <c r="AJ48" s="64"/>
      <c r="AK48" s="64"/>
      <c r="AL48" s="55"/>
      <c r="AM48" s="18"/>
      <c r="AN48" s="15"/>
      <c r="AO48" s="15"/>
      <c r="AP48" s="15"/>
      <c r="AQ48" s="15"/>
    </row>
    <row r="49" spans="1:52" s="7" customFormat="1" x14ac:dyDescent="0.25">
      <c r="A49" s="7" t="s">
        <v>144</v>
      </c>
      <c r="B49" s="7" t="s">
        <v>63</v>
      </c>
      <c r="C49" s="8">
        <v>43587</v>
      </c>
      <c r="D49" s="7" t="s">
        <v>51</v>
      </c>
      <c r="E49" s="7" t="s">
        <v>29</v>
      </c>
      <c r="F49" s="7" t="s">
        <v>161</v>
      </c>
      <c r="G49" s="39">
        <v>-1.11844929</v>
      </c>
      <c r="H49" s="39">
        <v>4.4661653379999997</v>
      </c>
      <c r="I49" s="39">
        <v>3.1189520499999999</v>
      </c>
      <c r="J49" s="39">
        <v>9.0077561290000006</v>
      </c>
      <c r="K49" s="39">
        <v>-39.615935450000002</v>
      </c>
      <c r="L49" s="39">
        <v>0.690399455</v>
      </c>
      <c r="M49" s="39">
        <v>40.332195339999998</v>
      </c>
      <c r="N49" s="39">
        <v>0.7820799400242322</v>
      </c>
      <c r="O49" s="39">
        <v>0</v>
      </c>
      <c r="P49" s="39">
        <v>0</v>
      </c>
      <c r="Q49" s="38">
        <v>-0.112642327</v>
      </c>
      <c r="R49" s="39">
        <v>5.4974838999999998E-2</v>
      </c>
      <c r="S49" s="39">
        <v>-46.853170599999999</v>
      </c>
      <c r="T49" s="10">
        <v>24.4</v>
      </c>
      <c r="U49" s="35">
        <v>0.95980590899999996</v>
      </c>
      <c r="V49" s="10">
        <v>13</v>
      </c>
      <c r="W49" s="35">
        <v>5.7470637379999996</v>
      </c>
      <c r="X49" s="10">
        <v>6</v>
      </c>
      <c r="Y49" s="35">
        <v>-0.34817772600000002</v>
      </c>
      <c r="Z49" s="28">
        <v>1.0882330259999999</v>
      </c>
      <c r="AA49" s="28">
        <v>0.92323884000000001</v>
      </c>
      <c r="AB49" s="27">
        <v>0.56568283199081504</v>
      </c>
      <c r="AC49" s="28"/>
      <c r="AD49" s="28"/>
      <c r="AE49" s="28"/>
      <c r="AF49" s="28"/>
      <c r="AG49" s="71">
        <v>0.60223436575360001</v>
      </c>
      <c r="AH49" s="69"/>
      <c r="AI49" s="65"/>
      <c r="AJ49" s="65"/>
      <c r="AK49" s="65"/>
      <c r="AL49" s="56"/>
      <c r="AM49" s="19"/>
      <c r="AN49" s="16"/>
      <c r="AO49" s="16"/>
      <c r="AP49" s="16"/>
      <c r="AQ49" s="16"/>
      <c r="AR49" s="52"/>
      <c r="AS49" s="52"/>
      <c r="AT49" s="23"/>
      <c r="AU49" s="23"/>
      <c r="AV49" s="23"/>
      <c r="AW49" s="23"/>
      <c r="AX49" s="23"/>
      <c r="AY49" s="61"/>
      <c r="AZ49" s="23"/>
    </row>
    <row r="50" spans="1:52" x14ac:dyDescent="0.25">
      <c r="C50" s="1"/>
      <c r="T50" s="9"/>
      <c r="U50" s="34"/>
      <c r="V50" s="9"/>
      <c r="W50" s="34"/>
      <c r="X50" s="9"/>
      <c r="Y50" s="34"/>
      <c r="Z50" s="25"/>
      <c r="AA50" s="25"/>
      <c r="AB50" s="26"/>
      <c r="AC50" s="25"/>
      <c r="AD50" s="25"/>
      <c r="AE50" s="25"/>
      <c r="AF50" s="25"/>
      <c r="AG50" s="71"/>
      <c r="AH50" s="68"/>
      <c r="AI50" s="64"/>
      <c r="AJ50" s="64"/>
      <c r="AK50" s="64"/>
      <c r="AL50" s="55"/>
      <c r="AM50" s="18"/>
      <c r="AN50" s="15"/>
      <c r="AO50" s="15"/>
      <c r="AP50" s="15"/>
      <c r="AQ50" s="15"/>
    </row>
    <row r="51" spans="1:52" x14ac:dyDescent="0.25">
      <c r="A51" t="s">
        <v>65</v>
      </c>
      <c r="B51" t="s">
        <v>66</v>
      </c>
      <c r="C51" s="1">
        <v>43495</v>
      </c>
      <c r="D51" t="s">
        <v>51</v>
      </c>
      <c r="E51" t="s">
        <v>25</v>
      </c>
      <c r="F51" t="s">
        <v>162</v>
      </c>
      <c r="G51" s="33">
        <v>-2.8679769660000001</v>
      </c>
      <c r="H51" s="33">
        <v>3.0720295700000002</v>
      </c>
      <c r="I51" s="33">
        <v>4.3371529999999998E-2</v>
      </c>
      <c r="J51" s="33">
        <v>6.0657867200000002</v>
      </c>
      <c r="K51" s="33">
        <v>6.0494696990000003</v>
      </c>
      <c r="L51" s="33">
        <v>-1.133960979</v>
      </c>
      <c r="M51" s="33">
        <v>38.890837650000002</v>
      </c>
      <c r="N51" s="33">
        <v>-0.60447642725205242</v>
      </c>
      <c r="O51" s="33">
        <v>0</v>
      </c>
      <c r="P51" s="33">
        <v>-4.4399999999999998E-13</v>
      </c>
      <c r="Q51" s="37">
        <v>-9.2567789999999997E-3</v>
      </c>
      <c r="R51" s="33">
        <v>-8.7200952999999998E-2</v>
      </c>
      <c r="S51" s="33">
        <v>3.0692801319999998</v>
      </c>
      <c r="T51" s="9">
        <v>31</v>
      </c>
      <c r="U51" s="34">
        <v>0.94765312899999998</v>
      </c>
      <c r="V51" s="9">
        <v>24</v>
      </c>
      <c r="W51" s="34">
        <v>9.3977810809999998</v>
      </c>
      <c r="X51" s="9">
        <v>6</v>
      </c>
      <c r="Y51" s="34">
        <v>-0.31241100700000002</v>
      </c>
      <c r="Z51" s="25">
        <v>1.0870752770000001</v>
      </c>
      <c r="AA51" s="25">
        <v>0.92198510199999995</v>
      </c>
      <c r="AB51" s="26">
        <v>0.64437082002762602</v>
      </c>
      <c r="AC51" s="25">
        <f>AVERAGE(AB51:AB52)</f>
        <v>0.67314613029188997</v>
      </c>
      <c r="AD51" s="25">
        <f>STDEV(AB51:AB52)</f>
        <v>4.0694434037215878E-2</v>
      </c>
      <c r="AE51" s="25">
        <f>0.0337058646404635/SQRT(2)</f>
        <v>2.3833645453027609E-2</v>
      </c>
      <c r="AF51" s="25">
        <f>_xlfn.CONFIDENCE.T(0.05,AD51,2)</f>
        <v>0.36562498356468787</v>
      </c>
      <c r="AG51" s="71">
        <v>0.68255457635799999</v>
      </c>
      <c r="AH51" s="68">
        <f>AVERAGE(AG51:AG52)</f>
        <v>0.71545856099494998</v>
      </c>
      <c r="AI51" s="64">
        <f>STDEV(AG51:AG52)</f>
        <v>4.6533261329690635E-2</v>
      </c>
      <c r="AJ51" s="64">
        <f>0.0732058646404635/SQRT(2)</f>
        <v>5.1764363309896234E-2</v>
      </c>
      <c r="AK51" s="64">
        <f>_xlfn.CONFIDENCE.T(0.05,AI51,2)</f>
        <v>0.41808476543303374</v>
      </c>
      <c r="AL51" s="55">
        <v>20</v>
      </c>
      <c r="AM51" s="18">
        <v>0.5</v>
      </c>
      <c r="AN51" s="15"/>
      <c r="AO51" s="15"/>
      <c r="AP51" s="15"/>
      <c r="AQ51" s="15"/>
      <c r="AR51" s="51">
        <v>37.090000000000003</v>
      </c>
      <c r="AS51" s="51">
        <v>0.3</v>
      </c>
      <c r="AT51" s="22">
        <f>-19.264+0.558*AR51</f>
        <v>1.4322200000000045</v>
      </c>
      <c r="AU51" s="22">
        <f>AT51-(-19.264+0.558*(AR51+AS51))</f>
        <v>-0.16739999999999711</v>
      </c>
      <c r="AV51" s="22">
        <f>AVERAGE(N51:N52)</f>
        <v>-0.57719437958297704</v>
      </c>
      <c r="AW51" s="22">
        <f>STDEV(N51:N52)</f>
        <v>3.8582641822915688E-2</v>
      </c>
      <c r="AX51" s="22">
        <f>AW51/SQRT(2)</f>
        <v>2.7282047669075379E-2</v>
      </c>
      <c r="AY51" s="60">
        <f>16.8-(4.38*(AV51-AT51))+(0.1*(AV51-AT51)^2)</f>
        <v>26.005009597460944</v>
      </c>
      <c r="AZ51" s="22">
        <f>AY51-(16.8-(4.38*(AV51+AX51-AT51-AU51))+(0.1*(AV51-AX51-AT51+AU51)^2))</f>
        <v>0.77067787761549411</v>
      </c>
    </row>
    <row r="52" spans="1:52" x14ac:dyDescent="0.25">
      <c r="A52" t="s">
        <v>124</v>
      </c>
      <c r="B52" t="s">
        <v>66</v>
      </c>
      <c r="C52" s="1">
        <v>43530</v>
      </c>
      <c r="D52" t="s">
        <v>51</v>
      </c>
      <c r="E52" t="s">
        <v>25</v>
      </c>
      <c r="F52" t="s">
        <v>162</v>
      </c>
      <c r="G52" s="33">
        <v>-2.6718068320000001</v>
      </c>
      <c r="H52" s="33">
        <v>3.1271797330000002</v>
      </c>
      <c r="I52" s="33">
        <v>0.29577710400000001</v>
      </c>
      <c r="J52" s="33">
        <v>6.2646885040000004</v>
      </c>
      <c r="K52" s="33">
        <v>38.309736579999999</v>
      </c>
      <c r="L52" s="33">
        <v>-0.92565797000000005</v>
      </c>
      <c r="M52" s="33">
        <v>38.947558299999997</v>
      </c>
      <c r="N52" s="33">
        <v>-0.54991233191390165</v>
      </c>
      <c r="O52" s="33">
        <v>0</v>
      </c>
      <c r="P52" s="33">
        <v>0</v>
      </c>
      <c r="Q52" s="37">
        <v>-1.3906078000000001E-2</v>
      </c>
      <c r="R52" s="33">
        <v>5.2057799999999995E-4</v>
      </c>
      <c r="S52" s="33">
        <v>34.905132109999997</v>
      </c>
      <c r="T52" s="9">
        <v>36.4</v>
      </c>
      <c r="U52" s="34">
        <v>0.98488563299999998</v>
      </c>
      <c r="V52" s="9">
        <v>88</v>
      </c>
      <c r="W52" s="34">
        <v>9.2890589840000004</v>
      </c>
      <c r="X52" s="9">
        <v>6</v>
      </c>
      <c r="Y52" s="34">
        <v>-0.269100006</v>
      </c>
      <c r="Z52" s="25">
        <v>1.0882909510000001</v>
      </c>
      <c r="AA52" s="25">
        <v>0.93278054200000005</v>
      </c>
      <c r="AB52" s="26">
        <v>0.70192144055615402</v>
      </c>
      <c r="AC52" s="25"/>
      <c r="AD52" s="25"/>
      <c r="AE52" s="25"/>
      <c r="AF52" s="25"/>
      <c r="AG52" s="71">
        <v>0.74836254563189997</v>
      </c>
      <c r="AH52" s="68"/>
      <c r="AI52" s="64"/>
      <c r="AJ52" s="64"/>
      <c r="AK52" s="64"/>
      <c r="AL52" s="55"/>
      <c r="AM52" s="18"/>
      <c r="AN52" s="15"/>
      <c r="AO52" s="15"/>
      <c r="AP52" s="15"/>
      <c r="AQ52" s="15"/>
    </row>
    <row r="53" spans="1:52" x14ac:dyDescent="0.25">
      <c r="C53" s="1"/>
      <c r="T53" s="9"/>
      <c r="U53" s="34"/>
      <c r="V53" s="9"/>
      <c r="W53" s="34"/>
      <c r="X53" s="9"/>
      <c r="Y53" s="34"/>
      <c r="Z53" s="25"/>
      <c r="AA53" s="25"/>
      <c r="AB53" s="26"/>
      <c r="AC53" s="25"/>
      <c r="AD53" s="25"/>
      <c r="AE53" s="25"/>
      <c r="AF53" s="25"/>
      <c r="AG53" s="71"/>
      <c r="AH53" s="68"/>
      <c r="AI53" s="64"/>
      <c r="AJ53" s="64"/>
      <c r="AK53" s="64"/>
      <c r="AL53" s="55"/>
      <c r="AM53" s="18"/>
      <c r="AN53" s="15"/>
      <c r="AO53" s="15"/>
      <c r="AP53" s="15"/>
      <c r="AQ53" s="15"/>
    </row>
    <row r="54" spans="1:52" x14ac:dyDescent="0.25">
      <c r="A54" t="s">
        <v>67</v>
      </c>
      <c r="B54" t="s">
        <v>68</v>
      </c>
      <c r="C54" s="1">
        <v>43490</v>
      </c>
      <c r="D54" t="s">
        <v>24</v>
      </c>
      <c r="E54" t="s">
        <v>61</v>
      </c>
      <c r="F54" t="s">
        <v>162</v>
      </c>
      <c r="G54" s="33">
        <v>-1.6375559609999999</v>
      </c>
      <c r="H54" s="33">
        <v>4.2717756800000002</v>
      </c>
      <c r="I54" s="33">
        <v>2.43524042</v>
      </c>
      <c r="J54" s="33">
        <v>8.4076366189999998</v>
      </c>
      <c r="K54" s="33">
        <v>8.9854750219999993</v>
      </c>
      <c r="L54" s="33">
        <v>0.140975353</v>
      </c>
      <c r="M54" s="33">
        <v>40.131867120000003</v>
      </c>
      <c r="N54" s="33">
        <v>0.58936832450137899</v>
      </c>
      <c r="O54" s="33">
        <v>0</v>
      </c>
      <c r="P54" s="33">
        <v>0</v>
      </c>
      <c r="Q54" s="37">
        <v>-6.7872217999999998E-2</v>
      </c>
      <c r="R54" s="33">
        <v>-0.152870594</v>
      </c>
      <c r="S54" s="33">
        <v>2.31807572</v>
      </c>
      <c r="T54" s="9">
        <v>41.7</v>
      </c>
      <c r="U54" s="34">
        <v>0.94765312899999998</v>
      </c>
      <c r="V54" s="9">
        <v>14</v>
      </c>
      <c r="W54" s="34">
        <v>9.3977810809999998</v>
      </c>
      <c r="X54" s="9">
        <v>6</v>
      </c>
      <c r="Y54" s="34">
        <v>-0.29323867100000001</v>
      </c>
      <c r="Z54" s="25">
        <v>1.0870752770000001</v>
      </c>
      <c r="AA54" s="25">
        <v>0.92198510199999995</v>
      </c>
      <c r="AB54" s="26">
        <v>0.66521259249556297</v>
      </c>
      <c r="AC54" s="25">
        <f>AVERAGE(AB54:AB55)</f>
        <v>0.68780119546625151</v>
      </c>
      <c r="AD54" s="25">
        <f>STDEV(AB54:AB55)</f>
        <v>3.1945108676208846E-2</v>
      </c>
      <c r="AE54" s="25">
        <f>0.0337058646404635/SQRT(2)</f>
        <v>2.3833645453027609E-2</v>
      </c>
      <c r="AF54" s="25">
        <f>_xlfn.CONFIDENCE.T(0.05,AD54,2)</f>
        <v>0.28701541404973208</v>
      </c>
      <c r="AG54" s="71">
        <v>0.70565283309399995</v>
      </c>
      <c r="AH54" s="68">
        <f>AVERAGE(AG54:AG55)</f>
        <v>0.73061579284774991</v>
      </c>
      <c r="AI54" s="64">
        <f>STDEV(AG54:AG55)</f>
        <v>3.5302956240727004E-2</v>
      </c>
      <c r="AJ54" s="64">
        <f>0.0732058646404635/SQRT(2)</f>
        <v>5.1764363309896234E-2</v>
      </c>
      <c r="AK54" s="64">
        <f>_xlfn.CONFIDENCE.T(0.05,AI54,2)</f>
        <v>0.31718447745203698</v>
      </c>
      <c r="AL54" s="55">
        <v>16.399999999999999</v>
      </c>
      <c r="AM54" s="18">
        <v>4.3</v>
      </c>
      <c r="AN54" s="15"/>
      <c r="AO54" s="15"/>
      <c r="AP54" s="15"/>
      <c r="AQ54" s="15"/>
      <c r="AR54" s="51">
        <v>34.74</v>
      </c>
      <c r="AS54" s="51">
        <v>0.2</v>
      </c>
      <c r="AT54" s="22">
        <f>-19.264+0.558*AR54</f>
        <v>0.12092000000000525</v>
      </c>
      <c r="AU54" s="22">
        <f>AT54-(-19.264+0.558*(AR54+AS54))</f>
        <v>-0.11159999999999926</v>
      </c>
      <c r="AV54" s="22">
        <f>AVERAGE(N54)</f>
        <v>0.58936832450137899</v>
      </c>
      <c r="AW54" s="22">
        <v>0.04</v>
      </c>
      <c r="AX54" s="22">
        <f>AW54</f>
        <v>0.04</v>
      </c>
      <c r="AY54" s="60">
        <f>16.8-(4.38*(AV54-AT54))+(0.1*(AV54-AT54)^2)</f>
        <v>14.770140721956798</v>
      </c>
      <c r="AZ54" s="22">
        <f>AY54-(16.8-(4.38*(AV54+AX54-AT54-AU54))+(0.1*(AV54-AX54-AT54+AU54)^2))</f>
        <v>0.67591309719887782</v>
      </c>
    </row>
    <row r="55" spans="1:52" x14ac:dyDescent="0.25">
      <c r="A55" t="s">
        <v>84</v>
      </c>
      <c r="B55" t="s">
        <v>68</v>
      </c>
      <c r="C55" s="1">
        <v>43495</v>
      </c>
      <c r="D55" t="s">
        <v>24</v>
      </c>
      <c r="E55" t="s">
        <v>61</v>
      </c>
      <c r="F55" t="s">
        <v>162</v>
      </c>
      <c r="G55" s="33">
        <v>-1.602872522</v>
      </c>
      <c r="H55" s="33">
        <v>4.2134644039999998</v>
      </c>
      <c r="I55" s="33">
        <v>2.4583488010000001</v>
      </c>
      <c r="J55" s="33">
        <v>8.4019826549999994</v>
      </c>
      <c r="K55" s="33">
        <v>12.00219897</v>
      </c>
      <c r="L55" s="33">
        <v>0.180321436</v>
      </c>
      <c r="M55" s="33">
        <v>40.071327770000003</v>
      </c>
      <c r="N55" s="33">
        <v>0.53113071853056226</v>
      </c>
      <c r="O55" s="33">
        <v>0</v>
      </c>
      <c r="P55" s="33">
        <v>-2.2199999999999999E-13</v>
      </c>
      <c r="Q55" s="37">
        <v>-2.3578699000000002E-2</v>
      </c>
      <c r="R55" s="33">
        <v>-4.2358026E-2</v>
      </c>
      <c r="S55" s="33">
        <v>5.3923483790000004</v>
      </c>
      <c r="T55" s="9">
        <v>41.2</v>
      </c>
      <c r="U55" s="34">
        <v>0.94765312899999998</v>
      </c>
      <c r="V55" s="9">
        <v>24</v>
      </c>
      <c r="W55" s="34">
        <v>9.3977810809999998</v>
      </c>
      <c r="X55" s="9">
        <v>6</v>
      </c>
      <c r="Y55" s="34">
        <v>-0.25168018199999997</v>
      </c>
      <c r="Z55" s="25">
        <v>1.0870752770000001</v>
      </c>
      <c r="AA55" s="25">
        <v>0.92198510199999995</v>
      </c>
      <c r="AB55" s="26">
        <v>0.71038979843693995</v>
      </c>
      <c r="AC55" s="25"/>
      <c r="AD55" s="25"/>
      <c r="AE55" s="25"/>
      <c r="AF55" s="25"/>
      <c r="AG55" s="71">
        <v>0.75557875260149998</v>
      </c>
      <c r="AH55" s="68"/>
      <c r="AI55" s="64"/>
      <c r="AJ55" s="64"/>
      <c r="AK55" s="64"/>
      <c r="AL55" s="55">
        <v>16.399999999999999</v>
      </c>
      <c r="AM55" s="18">
        <v>4.3</v>
      </c>
      <c r="AN55" s="15"/>
      <c r="AO55" s="15"/>
      <c r="AP55" s="15"/>
      <c r="AQ55" s="15"/>
      <c r="AR55" s="51">
        <v>34.770000000000003</v>
      </c>
      <c r="AS55" s="51">
        <v>0.2</v>
      </c>
      <c r="AT55" s="22">
        <f>-19.264+0.558*AR55</f>
        <v>0.13766000000000389</v>
      </c>
      <c r="AU55" s="22">
        <f>AT55-(-19.264+0.558*(AR55+AS55))</f>
        <v>-0.11160000000000281</v>
      </c>
      <c r="AV55" s="22">
        <f>AVERAGE(N55)</f>
        <v>0.53113071853056226</v>
      </c>
      <c r="AW55" s="22">
        <v>0.04</v>
      </c>
      <c r="AX55" s="22">
        <f>AW55</f>
        <v>0.04</v>
      </c>
      <c r="AY55" s="60">
        <f>16.8-(4.38*(AV55-AT55))+(0.1*(AV55-AT55)^2)</f>
        <v>15.092080173470249</v>
      </c>
      <c r="AZ55" s="22">
        <f>AY55-(16.8-(4.38*(AV55+AX55-AT55-AU55))+(0.1*(AV55-AX55-AT55+AU55)^2))</f>
        <v>0.67363977618585658</v>
      </c>
    </row>
    <row r="56" spans="1:52" x14ac:dyDescent="0.25">
      <c r="C56" s="1"/>
      <c r="T56" s="9"/>
      <c r="U56" s="34"/>
      <c r="V56" s="9"/>
      <c r="W56" s="34"/>
      <c r="X56" s="9"/>
      <c r="Y56" s="34"/>
      <c r="Z56" s="25"/>
      <c r="AA56" s="25"/>
      <c r="AB56" s="26"/>
      <c r="AC56" s="25"/>
      <c r="AD56" s="25"/>
      <c r="AE56" s="25"/>
      <c r="AF56" s="25"/>
      <c r="AG56" s="71"/>
      <c r="AH56" s="68"/>
      <c r="AI56" s="64"/>
      <c r="AJ56" s="64"/>
      <c r="AK56" s="64"/>
      <c r="AL56" s="55"/>
      <c r="AM56" s="18"/>
      <c r="AN56" s="15"/>
      <c r="AO56" s="15"/>
      <c r="AP56" s="15"/>
      <c r="AQ56" s="15"/>
    </row>
    <row r="57" spans="1:52" x14ac:dyDescent="0.25">
      <c r="A57" t="s">
        <v>69</v>
      </c>
      <c r="B57" t="s">
        <v>70</v>
      </c>
      <c r="C57" s="1">
        <v>43488</v>
      </c>
      <c r="D57" t="s">
        <v>71</v>
      </c>
      <c r="E57" t="s">
        <v>25</v>
      </c>
      <c r="F57" t="s">
        <v>161</v>
      </c>
      <c r="G57" s="33">
        <v>-1.7194633969999999</v>
      </c>
      <c r="H57" s="33">
        <v>5.3036820169999999</v>
      </c>
      <c r="I57" s="33">
        <v>3.3862575769999999</v>
      </c>
      <c r="J57" s="33">
        <v>10.598871409999999</v>
      </c>
      <c r="K57" s="33">
        <v>15.0301413</v>
      </c>
      <c r="L57" s="33">
        <v>1.4993866E-2</v>
      </c>
      <c r="M57" s="33">
        <v>41.201955320000003</v>
      </c>
      <c r="N57" s="33">
        <v>1.6187711004752146</v>
      </c>
      <c r="O57" s="33">
        <v>0</v>
      </c>
      <c r="P57" s="33">
        <v>2.2199999999999999E-13</v>
      </c>
      <c r="Q57" s="37">
        <v>-4.4626583999999997E-2</v>
      </c>
      <c r="R57" s="33">
        <v>-3.6253806E-2</v>
      </c>
      <c r="S57" s="33">
        <v>6.3780371389999999</v>
      </c>
      <c r="T57" s="9">
        <v>39.6</v>
      </c>
      <c r="U57" s="34">
        <v>0.97701657600000003</v>
      </c>
      <c r="V57" s="9">
        <v>12</v>
      </c>
      <c r="W57" s="34">
        <v>9.8226514159999994</v>
      </c>
      <c r="X57" s="9">
        <v>6</v>
      </c>
      <c r="Y57" s="34">
        <v>-0.29267333699999998</v>
      </c>
      <c r="Z57" s="25">
        <v>1.0870752770000001</v>
      </c>
      <c r="AA57" s="25">
        <v>0.92198510199999995</v>
      </c>
      <c r="AB57" s="26">
        <v>0.66582715311021101</v>
      </c>
      <c r="AC57" s="25">
        <f>AVERAGE(AB57:AB59)</f>
        <v>0.67339971115653263</v>
      </c>
      <c r="AD57" s="25">
        <f>STDEV(AB57:AB59)</f>
        <v>1.9629387799796241E-2</v>
      </c>
      <c r="AE57" s="25">
        <f>0.0337/SQRT(3)</f>
        <v>1.9456704071690391E-2</v>
      </c>
      <c r="AF57" s="25">
        <f>_xlfn.CONFIDENCE.T(0.05,AD57,3)</f>
        <v>4.8762102492045704E-2</v>
      </c>
      <c r="AG57" s="71">
        <v>0.70625435019649996</v>
      </c>
      <c r="AH57" s="68">
        <f>AVERAGE(AG57:AG59)</f>
        <v>0.71539535413790001</v>
      </c>
      <c r="AI57" s="64">
        <f>STDEV(AG57:AG59)</f>
        <v>2.2940406589979614E-2</v>
      </c>
      <c r="AJ57" s="64">
        <f>0.0732/SQRT(3)</f>
        <v>4.2262039704680607E-2</v>
      </c>
      <c r="AK57" s="64">
        <f>_xlfn.CONFIDENCE.T(0.05,AI57,3)</f>
        <v>5.6987129133054176E-2</v>
      </c>
      <c r="AL57" s="55">
        <v>8.8000000000000007</v>
      </c>
      <c r="AM57" s="18">
        <v>1</v>
      </c>
      <c r="AN57" s="15"/>
      <c r="AO57" s="15"/>
      <c r="AP57" s="15"/>
      <c r="AQ57" s="15"/>
      <c r="AR57" s="51">
        <v>33.94</v>
      </c>
      <c r="AS57" s="51">
        <v>0.05</v>
      </c>
      <c r="AT57" s="22">
        <f>-19.264+0.558*AR57</f>
        <v>-0.32547999999999888</v>
      </c>
      <c r="AU57" s="22">
        <f>AT57-(-19.264+0.558*(AR57+AS57))</f>
        <v>-2.7899999999998926E-2</v>
      </c>
      <c r="AV57" s="22">
        <f>AVERAGE(N57:N59)</f>
        <v>1.5868209084103835</v>
      </c>
      <c r="AW57" s="22">
        <f>STDEV(N57:N59)</f>
        <v>5.9704316483245035E-2</v>
      </c>
      <c r="AX57" s="22">
        <f>AW57/SQRT(3)</f>
        <v>3.4470303193384136E-2</v>
      </c>
      <c r="AY57" s="60">
        <f>16.8-(4.38*(AV57-AT57))+(0.1*(AV57-AT57)^2)</f>
        <v>8.7898114975932433</v>
      </c>
      <c r="AZ57" s="22">
        <f>AY57-(16.8-(4.38*(AV57+AX57-AT57-AU57))+(0.1*(AV57-AX57-AT57+AU57)^2))</f>
        <v>0.29664708000588114</v>
      </c>
    </row>
    <row r="58" spans="1:52" x14ac:dyDescent="0.25">
      <c r="A58" t="s">
        <v>72</v>
      </c>
      <c r="B58" t="s">
        <v>70</v>
      </c>
      <c r="C58" s="1">
        <v>43493</v>
      </c>
      <c r="D58" t="s">
        <v>71</v>
      </c>
      <c r="E58" t="s">
        <v>25</v>
      </c>
      <c r="F58" t="s">
        <v>161</v>
      </c>
      <c r="G58" s="33">
        <v>-1.729169033</v>
      </c>
      <c r="H58" s="33">
        <v>5.3086532870000003</v>
      </c>
      <c r="I58" s="33">
        <v>3.3823257139999998</v>
      </c>
      <c r="J58" s="33">
        <v>10.65043809</v>
      </c>
      <c r="K58" s="33">
        <v>55.286813299999999</v>
      </c>
      <c r="L58" s="33">
        <v>4.4032009999999998E-3</v>
      </c>
      <c r="M58" s="33">
        <v>41.207132389999998</v>
      </c>
      <c r="N58" s="33">
        <v>1.6237513350291692</v>
      </c>
      <c r="O58" s="33">
        <v>0</v>
      </c>
      <c r="P58" s="33">
        <v>-4.4399999999999998E-13</v>
      </c>
      <c r="Q58" s="37">
        <v>-4.3375688000000003E-2</v>
      </c>
      <c r="R58" s="33">
        <v>4.87996E-3</v>
      </c>
      <c r="S58" s="33">
        <v>46.29223786</v>
      </c>
      <c r="T58" s="9">
        <v>39.4</v>
      </c>
      <c r="U58" s="34">
        <v>0.97538351400000001</v>
      </c>
      <c r="V58" s="9">
        <v>20</v>
      </c>
      <c r="W58" s="34">
        <v>10.08120598</v>
      </c>
      <c r="X58" s="9">
        <v>6</v>
      </c>
      <c r="Y58" s="34">
        <v>-0.29924385999999997</v>
      </c>
      <c r="Z58" s="25">
        <v>1.0870752770000001</v>
      </c>
      <c r="AA58" s="25">
        <v>0.92198510199999995</v>
      </c>
      <c r="AB58" s="26">
        <v>0.65868449999995105</v>
      </c>
      <c r="AC58" s="25"/>
      <c r="AD58" s="25"/>
      <c r="AE58" s="25"/>
      <c r="AF58" s="25"/>
      <c r="AG58" s="71">
        <v>0.69843462786400001</v>
      </c>
      <c r="AH58" s="68"/>
      <c r="AI58" s="64"/>
      <c r="AJ58" s="64"/>
      <c r="AK58" s="64"/>
      <c r="AL58" s="55"/>
      <c r="AM58" s="18"/>
      <c r="AN58" s="15"/>
      <c r="AO58" s="15"/>
      <c r="AP58" s="15"/>
      <c r="AQ58" s="15"/>
    </row>
    <row r="59" spans="1:52" x14ac:dyDescent="0.25">
      <c r="A59" t="s">
        <v>125</v>
      </c>
      <c r="B59" t="s">
        <v>70</v>
      </c>
      <c r="C59" s="1">
        <v>43529</v>
      </c>
      <c r="D59" t="s">
        <v>71</v>
      </c>
      <c r="E59" t="s">
        <v>25</v>
      </c>
      <c r="F59" t="s">
        <v>161</v>
      </c>
      <c r="G59" s="33">
        <v>-1.8144301430000001</v>
      </c>
      <c r="H59" s="33">
        <v>5.202372886</v>
      </c>
      <c r="I59" s="33">
        <v>3.1957691480000001</v>
      </c>
      <c r="J59" s="33">
        <v>10.38822257</v>
      </c>
      <c r="K59" s="33">
        <v>47.314115540000003</v>
      </c>
      <c r="L59" s="33">
        <v>-8.308923E-2</v>
      </c>
      <c r="M59" s="33">
        <v>41.097139339999998</v>
      </c>
      <c r="N59" s="33">
        <v>1.5179402897267664</v>
      </c>
      <c r="O59" s="33">
        <v>0</v>
      </c>
      <c r="P59" s="33">
        <v>0</v>
      </c>
      <c r="Q59" s="37">
        <v>-3.7256376000000001E-2</v>
      </c>
      <c r="R59" s="33">
        <v>-4.3156266999999998E-2</v>
      </c>
      <c r="S59" s="33">
        <v>38.697797100000003</v>
      </c>
      <c r="T59" s="9">
        <v>39.1</v>
      </c>
      <c r="U59" s="34">
        <v>0.98488563299999998</v>
      </c>
      <c r="V59" s="9">
        <v>86</v>
      </c>
      <c r="W59" s="34">
        <v>9.2890589840000004</v>
      </c>
      <c r="X59" s="9">
        <v>6</v>
      </c>
      <c r="Y59" s="34">
        <v>-0.27482821699999999</v>
      </c>
      <c r="Z59" s="25">
        <v>1.0882909510000001</v>
      </c>
      <c r="AA59" s="25">
        <v>0.93278054200000005</v>
      </c>
      <c r="AB59" s="26">
        <v>0.69568748035943595</v>
      </c>
      <c r="AC59" s="25"/>
      <c r="AD59" s="25"/>
      <c r="AE59" s="25"/>
      <c r="AF59" s="25"/>
      <c r="AG59" s="71">
        <v>0.74149708435320005</v>
      </c>
      <c r="AH59" s="68"/>
      <c r="AI59" s="64"/>
      <c r="AJ59" s="64"/>
      <c r="AK59" s="64"/>
      <c r="AL59" s="55"/>
      <c r="AM59" s="18"/>
      <c r="AN59" s="15"/>
      <c r="AO59" s="15"/>
      <c r="AP59" s="15"/>
      <c r="AQ59" s="15"/>
    </row>
    <row r="60" spans="1:52" x14ac:dyDescent="0.25">
      <c r="C60" s="1"/>
      <c r="T60" s="9"/>
      <c r="U60" s="34"/>
      <c r="V60" s="9"/>
      <c r="W60" s="34"/>
      <c r="X60" s="9"/>
      <c r="Y60" s="34"/>
      <c r="Z60" s="25"/>
      <c r="AA60" s="25"/>
      <c r="AB60" s="26"/>
      <c r="AC60" s="25"/>
      <c r="AD60" s="25"/>
      <c r="AE60" s="25"/>
      <c r="AF60" s="25"/>
      <c r="AG60" s="71"/>
      <c r="AH60" s="68"/>
      <c r="AI60" s="64"/>
      <c r="AJ60" s="64"/>
      <c r="AK60" s="64"/>
      <c r="AL60" s="55"/>
      <c r="AM60" s="18"/>
      <c r="AN60" s="15"/>
      <c r="AO60" s="15"/>
      <c r="AP60" s="15"/>
      <c r="AQ60" s="15"/>
    </row>
    <row r="61" spans="1:52" s="7" customFormat="1" x14ac:dyDescent="0.25">
      <c r="A61" s="7" t="s">
        <v>73</v>
      </c>
      <c r="B61" s="7" t="s">
        <v>74</v>
      </c>
      <c r="C61" s="8">
        <v>43496</v>
      </c>
      <c r="D61" s="7" t="s">
        <v>71</v>
      </c>
      <c r="E61" s="7" t="s">
        <v>61</v>
      </c>
      <c r="F61" s="7" t="s">
        <v>162</v>
      </c>
      <c r="G61" s="39">
        <v>-1.3161644690000001</v>
      </c>
      <c r="H61" s="39">
        <v>4.9503462090000001</v>
      </c>
      <c r="I61" s="39">
        <v>3.4549438939999999</v>
      </c>
      <c r="J61" s="39">
        <v>9.8638881250000008</v>
      </c>
      <c r="K61" s="39">
        <v>135.69056549999999</v>
      </c>
      <c r="L61" s="39">
        <v>0.46049502799999997</v>
      </c>
      <c r="M61" s="39">
        <v>40.834664959999998</v>
      </c>
      <c r="N61" s="33">
        <v>1.2654453501562557</v>
      </c>
      <c r="O61" s="39">
        <v>0</v>
      </c>
      <c r="P61" s="39">
        <v>0</v>
      </c>
      <c r="Q61" s="38">
        <v>-4.7305450999999998E-2</v>
      </c>
      <c r="R61" s="39">
        <v>-6.0721379999999998E-2</v>
      </c>
      <c r="S61" s="39">
        <v>126.303026</v>
      </c>
      <c r="T61" s="10">
        <v>37.299999999999997</v>
      </c>
      <c r="U61" s="35">
        <v>0.97989193399999996</v>
      </c>
      <c r="V61" s="10">
        <v>26</v>
      </c>
      <c r="W61" s="35">
        <v>10.258126730000001</v>
      </c>
      <c r="X61" s="10">
        <v>6</v>
      </c>
      <c r="Y61" s="35">
        <v>-0.32232225399999997</v>
      </c>
      <c r="Z61" s="28">
        <v>1.0870752770000001</v>
      </c>
      <c r="AA61" s="28">
        <v>0.92198510199999995</v>
      </c>
      <c r="AB61" s="27">
        <v>0.63359654844968605</v>
      </c>
      <c r="AC61" s="28">
        <f>AB61</f>
        <v>0.63359654844968605</v>
      </c>
      <c r="AD61" s="28">
        <v>3.370586464046349E-2</v>
      </c>
      <c r="AE61" s="28">
        <v>3.370586464046349E-2</v>
      </c>
      <c r="AF61" s="28"/>
      <c r="AG61" s="71">
        <v>0.67064453772849997</v>
      </c>
      <c r="AH61" s="69">
        <f>AG61</f>
        <v>0.67064453772849997</v>
      </c>
      <c r="AI61" s="65">
        <v>3.370586464046349E-2</v>
      </c>
      <c r="AJ61" s="65">
        <v>7.3205864640463497E-2</v>
      </c>
      <c r="AK61" s="65"/>
      <c r="AL61" s="56">
        <v>9.4</v>
      </c>
      <c r="AM61" s="19">
        <v>2.6</v>
      </c>
      <c r="AN61" s="16"/>
      <c r="AO61" s="16"/>
      <c r="AP61" s="16"/>
      <c r="AQ61" s="16"/>
      <c r="AR61" s="51">
        <v>34.06</v>
      </c>
      <c r="AS61" s="51">
        <v>0.1</v>
      </c>
      <c r="AT61" s="22">
        <f>-19.264+0.558*AR61</f>
        <v>-0.2585199999999972</v>
      </c>
      <c r="AU61" s="22">
        <f>AT61-(-19.264+0.558*(AR61+AS61))</f>
        <v>-5.5800000000001404E-2</v>
      </c>
      <c r="AV61" s="22">
        <f>AVERAGE(N61)</f>
        <v>1.2654453501562557</v>
      </c>
      <c r="AW61" s="22">
        <v>0.04</v>
      </c>
      <c r="AX61" s="22">
        <f>AW61</f>
        <v>0.04</v>
      </c>
      <c r="AY61" s="60">
        <f>16.8-(4.38*(AV61-AT61))+(0.1*(AV61-AT61)^2)</f>
        <v>10.3572788051633</v>
      </c>
      <c r="AZ61" s="22">
        <f>AY61-(16.8-(4.38*(AV61+AX61-AT61-AU61))+(0.1*(AV61-AX61-AT61+AU61)^2))</f>
        <v>0.44788541210900057</v>
      </c>
    </row>
    <row r="62" spans="1:52" x14ac:dyDescent="0.25">
      <c r="C62" s="1"/>
      <c r="T62" s="9"/>
      <c r="U62" s="34"/>
      <c r="V62" s="9"/>
      <c r="W62" s="34"/>
      <c r="X62" s="9"/>
      <c r="Y62" s="34"/>
      <c r="Z62" s="25"/>
      <c r="AA62" s="25"/>
      <c r="AB62" s="26"/>
      <c r="AC62" s="25"/>
      <c r="AD62" s="25"/>
      <c r="AE62" s="25"/>
      <c r="AF62" s="25"/>
      <c r="AG62" s="71"/>
      <c r="AH62" s="68"/>
      <c r="AI62" s="64"/>
      <c r="AJ62" s="64"/>
      <c r="AK62" s="64"/>
      <c r="AL62" s="55"/>
      <c r="AM62" s="18"/>
      <c r="AN62" s="15"/>
      <c r="AO62" s="15"/>
      <c r="AP62" s="15"/>
      <c r="AQ62" s="15"/>
    </row>
    <row r="63" spans="1:52" x14ac:dyDescent="0.25">
      <c r="A63" t="s">
        <v>75</v>
      </c>
      <c r="B63" t="s">
        <v>76</v>
      </c>
      <c r="C63" s="1">
        <v>43489</v>
      </c>
      <c r="D63" t="s">
        <v>77</v>
      </c>
      <c r="E63" t="s">
        <v>25</v>
      </c>
      <c r="F63" t="s">
        <v>161</v>
      </c>
      <c r="G63" s="33">
        <v>-1.891769727</v>
      </c>
      <c r="H63" s="33">
        <v>5.291588967</v>
      </c>
      <c r="I63" s="33">
        <v>3.2170499490000002</v>
      </c>
      <c r="J63" s="33">
        <v>10.47864339</v>
      </c>
      <c r="K63" s="33">
        <v>8.5254148959999991</v>
      </c>
      <c r="L63" s="33">
        <v>-0.169314944</v>
      </c>
      <c r="M63" s="33">
        <v>41.189821469999998</v>
      </c>
      <c r="N63" s="33">
        <v>1.607098587056953</v>
      </c>
      <c r="O63" s="33">
        <v>0</v>
      </c>
      <c r="P63" s="33">
        <v>0</v>
      </c>
      <c r="Q63" s="37">
        <v>-2.3352359999999999E-2</v>
      </c>
      <c r="R63" s="33">
        <v>-0.13116298900000001</v>
      </c>
      <c r="S63" s="33">
        <v>0.13639425299999999</v>
      </c>
      <c r="T63" s="9">
        <v>37.5</v>
      </c>
      <c r="U63" s="34">
        <v>0.97989193399999996</v>
      </c>
      <c r="V63" s="9">
        <v>12</v>
      </c>
      <c r="W63" s="34">
        <v>10.258126730000001</v>
      </c>
      <c r="X63" s="9">
        <v>6</v>
      </c>
      <c r="Y63" s="34">
        <v>-0.29690240600000001</v>
      </c>
      <c r="Z63" s="25">
        <v>1.0870752770000001</v>
      </c>
      <c r="AA63" s="25">
        <v>0.92198510199999995</v>
      </c>
      <c r="AB63" s="26">
        <v>0.661229836755584</v>
      </c>
      <c r="AC63" s="25">
        <f>AVERAGE(AB63:AB65)</f>
        <v>0.6505988937916064</v>
      </c>
      <c r="AD63" s="25">
        <f>STDEV(AB63:AB65)</f>
        <v>1.4405057374551122E-2</v>
      </c>
      <c r="AE63" s="25">
        <f>0.0337/SQRT(3)</f>
        <v>1.9456704071690391E-2</v>
      </c>
      <c r="AF63" s="25">
        <f>_xlfn.CONFIDENCE.T(0.05,AD63,3)</f>
        <v>3.5784146264049653E-2</v>
      </c>
      <c r="AG63" s="71">
        <v>0.70120160653550001</v>
      </c>
      <c r="AH63" s="68">
        <f>AVERAGE(AG63:AG65)</f>
        <v>0.69014475472006664</v>
      </c>
      <c r="AI63" s="64">
        <f>STDEV(AG63:AG65)</f>
        <v>1.4713791401083165E-2</v>
      </c>
      <c r="AJ63" s="64">
        <f>0.0732/SQRT(3)</f>
        <v>4.2262039704680607E-2</v>
      </c>
      <c r="AK63" s="64">
        <f>_xlfn.CONFIDENCE.T(0.05,AI63,3)</f>
        <v>3.6551084102258435E-2</v>
      </c>
      <c r="AL63" s="55">
        <v>8.6999999999999993</v>
      </c>
      <c r="AM63" s="18">
        <v>0.9</v>
      </c>
      <c r="AN63" s="15">
        <v>2.15</v>
      </c>
      <c r="AO63" s="21" t="s">
        <v>185</v>
      </c>
      <c r="AP63" s="15">
        <v>10</v>
      </c>
      <c r="AQ63" s="15">
        <v>1</v>
      </c>
      <c r="AR63" s="51">
        <v>33.96</v>
      </c>
      <c r="AS63" s="51">
        <v>0.04</v>
      </c>
      <c r="AT63" s="22">
        <f>-19.264+0.558*AR63</f>
        <v>-0.3143199999999986</v>
      </c>
      <c r="AU63" s="22">
        <f>AT63-(-19.264+0.558*(AR63+AS63))</f>
        <v>-2.2320000000000562E-2</v>
      </c>
      <c r="AV63" s="22">
        <f>AVERAGE(N63:N65)</f>
        <v>1.580908278555512</v>
      </c>
      <c r="AW63" s="22">
        <f>STDEV(N63:N65)</f>
        <v>4.9895380986266447E-2</v>
      </c>
      <c r="AX63" s="22">
        <f>AW63/SQRT(3)</f>
        <v>2.880711164373987E-2</v>
      </c>
      <c r="AY63" s="60">
        <f>16.8-(4.38*(AV63-AT63))+(0.1*(AV63-AT63)^2)</f>
        <v>8.8580891627105114</v>
      </c>
      <c r="AZ63" s="22">
        <f>AY63-(16.8-(4.38*(AV63+AX63-AT63-AU63))+(0.1*(AV63-AX63-AT63+AU63)^2))</f>
        <v>0.24305486040269564</v>
      </c>
    </row>
    <row r="64" spans="1:52" x14ac:dyDescent="0.25">
      <c r="A64" t="s">
        <v>78</v>
      </c>
      <c r="B64" t="s">
        <v>76</v>
      </c>
      <c r="C64" s="1">
        <v>43490</v>
      </c>
      <c r="D64" t="s">
        <v>77</v>
      </c>
      <c r="E64" t="s">
        <v>25</v>
      </c>
      <c r="F64" t="s">
        <v>161</v>
      </c>
      <c r="G64" s="33">
        <v>-1.905474678</v>
      </c>
      <c r="H64" s="33">
        <v>5.296728044</v>
      </c>
      <c r="I64" s="33">
        <v>3.180370447</v>
      </c>
      <c r="J64" s="33">
        <v>10.446008620000001</v>
      </c>
      <c r="K64" s="33">
        <v>7.1235651779999998</v>
      </c>
      <c r="L64" s="33">
        <v>-0.18420008800000001</v>
      </c>
      <c r="M64" s="33">
        <v>41.195181910000002</v>
      </c>
      <c r="N64" s="33">
        <v>1.6122552197685991</v>
      </c>
      <c r="O64" s="33">
        <v>0</v>
      </c>
      <c r="P64" s="33">
        <v>-2.2199999999999999E-13</v>
      </c>
      <c r="Q64" s="37">
        <v>-5.0772495000000001E-2</v>
      </c>
      <c r="R64" s="33">
        <v>-0.173677531</v>
      </c>
      <c r="S64" s="33">
        <v>-1.249209435</v>
      </c>
      <c r="T64" s="9">
        <v>37.5</v>
      </c>
      <c r="U64" s="34">
        <v>0.94765312899999998</v>
      </c>
      <c r="V64" s="9">
        <v>14</v>
      </c>
      <c r="W64" s="34">
        <v>9.3977810809999998</v>
      </c>
      <c r="X64" s="9">
        <v>6</v>
      </c>
      <c r="Y64" s="34">
        <v>-0.30137999100000001</v>
      </c>
      <c r="Z64" s="25">
        <v>1.0870752770000001</v>
      </c>
      <c r="AA64" s="25">
        <v>0.92198510199999995</v>
      </c>
      <c r="AB64" s="26">
        <v>0.65636236480141696</v>
      </c>
      <c r="AC64" s="25"/>
      <c r="AD64" s="25"/>
      <c r="AE64" s="25"/>
      <c r="AF64" s="25"/>
      <c r="AG64" s="71">
        <v>0.69578795261299997</v>
      </c>
      <c r="AH64" s="68"/>
      <c r="AI64" s="64"/>
      <c r="AJ64" s="64"/>
      <c r="AK64" s="64"/>
      <c r="AL64" s="55"/>
      <c r="AM64" s="18"/>
      <c r="AN64" s="15"/>
      <c r="AO64" s="15"/>
      <c r="AP64" s="15"/>
      <c r="AQ64" s="15"/>
    </row>
    <row r="65" spans="1:52" x14ac:dyDescent="0.25">
      <c r="A65" t="s">
        <v>126</v>
      </c>
      <c r="B65" t="s">
        <v>76</v>
      </c>
      <c r="C65" s="1">
        <v>43530</v>
      </c>
      <c r="D65" t="s">
        <v>77</v>
      </c>
      <c r="E65" t="s">
        <v>25</v>
      </c>
      <c r="F65" t="s">
        <v>161</v>
      </c>
      <c r="G65" s="33">
        <v>-1.9269653390000001</v>
      </c>
      <c r="H65" s="33">
        <v>5.20756307</v>
      </c>
      <c r="I65" s="33">
        <v>3.0592732919999999</v>
      </c>
      <c r="J65" s="33">
        <v>10.34923467</v>
      </c>
      <c r="K65" s="33">
        <v>13.2517096</v>
      </c>
      <c r="L65" s="33">
        <v>-0.20394722900000001</v>
      </c>
      <c r="M65" s="33">
        <v>41.102784720000002</v>
      </c>
      <c r="N65" s="33">
        <v>1.5233710288409839</v>
      </c>
      <c r="O65" s="33">
        <v>0</v>
      </c>
      <c r="P65" s="33">
        <v>0</v>
      </c>
      <c r="Q65" s="37">
        <v>-6.2075133999999997E-2</v>
      </c>
      <c r="R65" s="33">
        <v>-9.2068411000000003E-2</v>
      </c>
      <c r="S65" s="33">
        <v>5.0262019689999997</v>
      </c>
      <c r="T65" s="9">
        <v>34.5</v>
      </c>
      <c r="U65" s="34">
        <v>0.98488563299999998</v>
      </c>
      <c r="V65" s="9">
        <v>88</v>
      </c>
      <c r="W65" s="34">
        <v>9.2890589840000004</v>
      </c>
      <c r="X65" s="9">
        <v>6</v>
      </c>
      <c r="Y65" s="34">
        <v>-0.33132321999999997</v>
      </c>
      <c r="Z65" s="25">
        <v>1.0882909510000001</v>
      </c>
      <c r="AA65" s="25">
        <v>0.93278054200000005</v>
      </c>
      <c r="AB65" s="26">
        <v>0.63420447981781802</v>
      </c>
      <c r="AC65" s="25"/>
      <c r="AD65" s="25"/>
      <c r="AE65" s="25"/>
      <c r="AF65" s="25"/>
      <c r="AG65" s="71">
        <v>0.67344470501169995</v>
      </c>
      <c r="AH65" s="68"/>
      <c r="AI65" s="64"/>
      <c r="AJ65" s="64"/>
      <c r="AK65" s="64"/>
      <c r="AL65" s="55"/>
      <c r="AM65" s="18"/>
      <c r="AN65" s="15"/>
      <c r="AO65" s="15"/>
      <c r="AP65" s="15"/>
      <c r="AQ65" s="15"/>
    </row>
    <row r="66" spans="1:52" x14ac:dyDescent="0.25">
      <c r="C66" s="1"/>
      <c r="T66" s="9"/>
      <c r="U66" s="34"/>
      <c r="V66" s="9"/>
      <c r="W66" s="34"/>
      <c r="X66" s="9"/>
      <c r="Y66" s="34"/>
      <c r="Z66" s="25"/>
      <c r="AA66" s="25"/>
      <c r="AB66" s="26"/>
      <c r="AC66" s="25"/>
      <c r="AD66" s="25"/>
      <c r="AE66" s="25"/>
      <c r="AF66" s="25"/>
      <c r="AG66" s="71"/>
      <c r="AH66" s="68"/>
      <c r="AI66" s="64"/>
      <c r="AJ66" s="64"/>
      <c r="AK66" s="64"/>
      <c r="AL66" s="55"/>
      <c r="AM66" s="18"/>
      <c r="AN66" s="15"/>
      <c r="AO66" s="15"/>
      <c r="AP66" s="15"/>
      <c r="AQ66" s="15"/>
    </row>
    <row r="67" spans="1:52" x14ac:dyDescent="0.25">
      <c r="A67" t="s">
        <v>145</v>
      </c>
      <c r="B67" t="s">
        <v>146</v>
      </c>
      <c r="C67" s="1">
        <v>43587</v>
      </c>
      <c r="D67" t="s">
        <v>77</v>
      </c>
      <c r="E67" t="s">
        <v>61</v>
      </c>
      <c r="F67" t="s">
        <v>162</v>
      </c>
      <c r="G67" s="33">
        <v>-1.3878589530000001</v>
      </c>
      <c r="H67" s="33">
        <v>5.0389965050000001</v>
      </c>
      <c r="I67" s="33">
        <v>3.5339717149999998</v>
      </c>
      <c r="J67" s="33">
        <v>10.17419342</v>
      </c>
      <c r="K67" s="33">
        <v>-51.114536020000003</v>
      </c>
      <c r="L67" s="33">
        <v>0.380342815</v>
      </c>
      <c r="M67" s="33">
        <v>40.926747140000003</v>
      </c>
      <c r="N67" s="33">
        <v>1.354026507961521</v>
      </c>
      <c r="O67" s="33">
        <v>0</v>
      </c>
      <c r="P67" s="33">
        <v>-2.2199999999999999E-13</v>
      </c>
      <c r="Q67" s="37">
        <v>1.8794286E-2</v>
      </c>
      <c r="R67" s="33">
        <v>7.0086280000000001E-2</v>
      </c>
      <c r="S67" s="33">
        <v>-59.049057990000001</v>
      </c>
      <c r="T67" s="9">
        <v>21.9</v>
      </c>
      <c r="U67" s="34">
        <v>0.95980590899999996</v>
      </c>
      <c r="V67" s="9">
        <v>13</v>
      </c>
      <c r="W67" s="34">
        <v>5.7470637379999996</v>
      </c>
      <c r="X67" s="9">
        <v>6</v>
      </c>
      <c r="Y67" s="34">
        <v>-0.243628716</v>
      </c>
      <c r="Z67" s="25">
        <v>1.0483067260000001</v>
      </c>
      <c r="AA67" s="25">
        <v>0.86867988399999996</v>
      </c>
      <c r="AB67" s="26">
        <v>0.67528226237045597</v>
      </c>
      <c r="AC67" s="25">
        <f>AB67</f>
        <v>0.67528226237045597</v>
      </c>
      <c r="AD67" s="25">
        <v>3.370586464046349E-2</v>
      </c>
      <c r="AE67" s="25">
        <v>3.370586464046349E-2</v>
      </c>
      <c r="AF67" s="25"/>
      <c r="AG67" s="71">
        <v>0.72480754861279995</v>
      </c>
      <c r="AH67" s="68">
        <f>AG67</f>
        <v>0.72480754861279995</v>
      </c>
      <c r="AI67" s="64">
        <v>3.370586464046349E-2</v>
      </c>
      <c r="AJ67" s="64">
        <v>7.3205864640463497E-2</v>
      </c>
      <c r="AK67" s="64"/>
      <c r="AL67" s="55">
        <v>9.3000000000000007</v>
      </c>
      <c r="AM67" s="18">
        <v>2.4</v>
      </c>
      <c r="AN67" s="15"/>
      <c r="AO67" s="15"/>
      <c r="AP67" s="15"/>
      <c r="AQ67" s="15"/>
      <c r="AR67" s="51">
        <v>34.07</v>
      </c>
      <c r="AS67" s="51">
        <v>0.2</v>
      </c>
      <c r="AT67" s="22">
        <f>-19.264+0.558*AR67</f>
        <v>-0.25293999999999883</v>
      </c>
      <c r="AU67" s="22">
        <f>AT67-(-19.264+0.558*(AR67+AS67))</f>
        <v>-0.11160000000000281</v>
      </c>
      <c r="AV67" s="22">
        <f>AVERAGE(N67)</f>
        <v>1.354026507961521</v>
      </c>
      <c r="AW67" s="22">
        <v>0.04</v>
      </c>
      <c r="AX67" s="22">
        <f>AW67</f>
        <v>0.04</v>
      </c>
      <c r="AY67" s="60">
        <f>16.8-(4.38*(AV67-AT67))+(0.1*(AV67-AT67)^2)</f>
        <v>10.019720830899548</v>
      </c>
      <c r="AZ67" s="22">
        <f>AY67-(16.8-(4.38*(AV67+AX67-AT67-AU67))+(0.1*(AV67-AX67-AT67+AU67)^2))</f>
        <v>0.71043296852140614</v>
      </c>
    </row>
    <row r="68" spans="1:52" x14ac:dyDescent="0.25">
      <c r="C68" s="1"/>
      <c r="T68" s="9"/>
      <c r="U68" s="34"/>
      <c r="V68" s="9"/>
      <c r="W68" s="34"/>
      <c r="X68" s="9"/>
      <c r="Y68" s="34"/>
      <c r="Z68" s="25"/>
      <c r="AA68" s="25"/>
      <c r="AB68" s="26"/>
      <c r="AC68" s="25"/>
      <c r="AD68" s="25"/>
      <c r="AE68" s="25"/>
      <c r="AF68" s="25"/>
      <c r="AG68" s="71"/>
      <c r="AH68" s="68"/>
      <c r="AI68" s="64"/>
      <c r="AJ68" s="64"/>
      <c r="AK68" s="64"/>
      <c r="AL68" s="55"/>
      <c r="AM68" s="18"/>
      <c r="AN68" s="15"/>
      <c r="AO68" s="15"/>
      <c r="AP68" s="15"/>
      <c r="AQ68" s="15"/>
    </row>
    <row r="69" spans="1:52" x14ac:dyDescent="0.25">
      <c r="A69" t="s">
        <v>79</v>
      </c>
      <c r="B69" t="s">
        <v>80</v>
      </c>
      <c r="C69" s="1">
        <v>43489</v>
      </c>
      <c r="D69" t="s">
        <v>81</v>
      </c>
      <c r="E69" t="s">
        <v>25</v>
      </c>
      <c r="F69" t="s">
        <v>161</v>
      </c>
      <c r="G69" s="33">
        <v>-1.7969227430000001</v>
      </c>
      <c r="H69" s="33">
        <v>5.2923465609999996</v>
      </c>
      <c r="I69" s="33">
        <v>3.2848059570000001</v>
      </c>
      <c r="J69" s="33">
        <v>10.48850781</v>
      </c>
      <c r="K69" s="33">
        <v>15.19143191</v>
      </c>
      <c r="L69" s="33">
        <v>-6.7643053999999994E-2</v>
      </c>
      <c r="M69" s="33">
        <v>41.190384350000002</v>
      </c>
      <c r="N69" s="33">
        <v>1.6076400660066383</v>
      </c>
      <c r="O69" s="33">
        <v>0</v>
      </c>
      <c r="P69" s="33">
        <v>0</v>
      </c>
      <c r="Q69" s="37">
        <v>-5.4595376000000001E-2</v>
      </c>
      <c r="R69" s="33">
        <v>-0.122908295</v>
      </c>
      <c r="S69" s="33">
        <v>6.6435094509999999</v>
      </c>
      <c r="T69" s="9">
        <v>38.299999999999997</v>
      </c>
      <c r="U69" s="34">
        <v>0.97989193399999996</v>
      </c>
      <c r="V69" s="9">
        <v>12</v>
      </c>
      <c r="W69" s="34">
        <v>10.258126730000001</v>
      </c>
      <c r="X69" s="9">
        <v>6</v>
      </c>
      <c r="Y69" s="34">
        <v>-0.32243158300000002</v>
      </c>
      <c r="Z69" s="25">
        <v>1.0870752770000001</v>
      </c>
      <c r="AA69" s="25">
        <v>0.92198510199999995</v>
      </c>
      <c r="AB69" s="26">
        <v>0.63347769959672595</v>
      </c>
      <c r="AC69" s="25">
        <f>AB69</f>
        <v>0.63347769959672595</v>
      </c>
      <c r="AD69" s="25">
        <v>3.370586464046349E-2</v>
      </c>
      <c r="AE69" s="25">
        <v>3.370586464046349E-2</v>
      </c>
      <c r="AF69" s="25"/>
      <c r="AG69" s="71">
        <v>0.67052423430800001</v>
      </c>
      <c r="AH69" s="68">
        <f>AG69</f>
        <v>0.67052423430800001</v>
      </c>
      <c r="AI69" s="64">
        <v>3.370586464046349E-2</v>
      </c>
      <c r="AJ69" s="64">
        <v>7.3205864640463497E-2</v>
      </c>
      <c r="AK69" s="64"/>
      <c r="AL69" s="55">
        <v>9.1</v>
      </c>
      <c r="AM69" s="18">
        <v>1.1000000000000001</v>
      </c>
      <c r="AN69" s="15">
        <v>2.58</v>
      </c>
      <c r="AO69" s="15" t="s">
        <v>181</v>
      </c>
      <c r="AP69" s="15">
        <v>12.8</v>
      </c>
      <c r="AQ69" s="15">
        <v>1</v>
      </c>
      <c r="AR69" s="51">
        <v>34</v>
      </c>
      <c r="AS69" s="51">
        <v>0.02</v>
      </c>
      <c r="AT69" s="22">
        <f>-19.264+0.558*AR69</f>
        <v>-0.29199999999999804</v>
      </c>
      <c r="AU69" s="22">
        <f>AT69-(-19.264+0.558*(AR69+AS69))</f>
        <v>-1.1160000000003834E-2</v>
      </c>
      <c r="AV69" s="22">
        <f>AVERAGE(N69)</f>
        <v>1.6076400660066383</v>
      </c>
      <c r="AW69" s="22">
        <v>0.04</v>
      </c>
      <c r="AX69" s="22">
        <f>AW69</f>
        <v>0.04</v>
      </c>
      <c r="AY69" s="60">
        <f>16.8-(4.38*(AV69-AT69))+(0.1*(AV69-AT69)^2)</f>
        <v>8.8404397489287021</v>
      </c>
      <c r="AZ69" s="22">
        <f>AY69-(16.8-(4.38*(AV69+AX69-AT69-AU69))+(0.1*(AV69-AX69-AT69+AU69)^2))</f>
        <v>0.24325618259539539</v>
      </c>
    </row>
    <row r="70" spans="1:52" x14ac:dyDescent="0.25">
      <c r="C70" s="1"/>
      <c r="T70" s="9"/>
      <c r="U70" s="34"/>
      <c r="V70" s="9"/>
      <c r="W70" s="34"/>
      <c r="X70" s="9"/>
      <c r="Y70" s="34"/>
      <c r="Z70" s="25"/>
      <c r="AA70" s="25"/>
      <c r="AB70" s="26"/>
      <c r="AC70" s="25"/>
      <c r="AD70" s="25"/>
      <c r="AE70" s="25"/>
      <c r="AF70" s="25"/>
      <c r="AG70" s="71"/>
      <c r="AH70" s="68"/>
      <c r="AI70" s="64"/>
      <c r="AJ70" s="64"/>
      <c r="AK70" s="64"/>
      <c r="AL70" s="55"/>
      <c r="AM70" s="18"/>
      <c r="AN70" s="15"/>
      <c r="AO70" s="15"/>
      <c r="AP70" s="15"/>
      <c r="AQ70" s="15"/>
    </row>
    <row r="71" spans="1:52" x14ac:dyDescent="0.25">
      <c r="A71" t="s">
        <v>82</v>
      </c>
      <c r="B71" t="s">
        <v>83</v>
      </c>
      <c r="C71" s="1">
        <v>43490</v>
      </c>
      <c r="D71" t="s">
        <v>81</v>
      </c>
      <c r="E71" t="s">
        <v>61</v>
      </c>
      <c r="F71" t="s">
        <v>162</v>
      </c>
      <c r="G71" s="33">
        <v>-1.20431533</v>
      </c>
      <c r="H71" s="33">
        <v>5.0850415020000002</v>
      </c>
      <c r="I71" s="33">
        <v>3.6705991619999998</v>
      </c>
      <c r="J71" s="33">
        <v>10.02003423</v>
      </c>
      <c r="K71" s="33">
        <v>13.07802364</v>
      </c>
      <c r="L71" s="33">
        <v>0.57544553300000001</v>
      </c>
      <c r="M71" s="33">
        <v>40.974056529999999</v>
      </c>
      <c r="N71" s="33">
        <v>1.3995371653032862</v>
      </c>
      <c r="O71" s="33">
        <v>0</v>
      </c>
      <c r="P71" s="33">
        <v>-2.2199999999999999E-13</v>
      </c>
      <c r="Q71" s="37">
        <v>-7.9719370999999997E-2</v>
      </c>
      <c r="R71" s="33">
        <v>-0.17414368499999999</v>
      </c>
      <c r="S71" s="33">
        <v>4.3195453370000001</v>
      </c>
      <c r="T71" s="9">
        <v>41.1</v>
      </c>
      <c r="U71" s="34">
        <v>0.94765312899999998</v>
      </c>
      <c r="V71" s="9">
        <v>14</v>
      </c>
      <c r="W71" s="34">
        <v>9.3977810809999998</v>
      </c>
      <c r="X71" s="9">
        <v>6</v>
      </c>
      <c r="Y71" s="34">
        <v>-0.30837584499999998</v>
      </c>
      <c r="Z71" s="25">
        <v>1.0870752770000001</v>
      </c>
      <c r="AA71" s="25">
        <v>0.92198510199999995</v>
      </c>
      <c r="AB71" s="26">
        <v>0.64875734487651604</v>
      </c>
      <c r="AC71" s="25">
        <f>AB71</f>
        <v>0.64875734487651604</v>
      </c>
      <c r="AD71" s="25">
        <v>3.370586464046349E-2</v>
      </c>
      <c r="AE71" s="25">
        <v>3.370586464046349E-2</v>
      </c>
      <c r="AF71" s="25"/>
      <c r="AG71" s="71">
        <v>0.68736671317800002</v>
      </c>
      <c r="AH71" s="68">
        <f>AG71</f>
        <v>0.68736671317800002</v>
      </c>
      <c r="AI71" s="64">
        <v>3.370586464046349E-2</v>
      </c>
      <c r="AJ71" s="64">
        <v>7.3205864640463497E-2</v>
      </c>
      <c r="AK71" s="64"/>
      <c r="AL71" s="55">
        <v>9.6999999999999993</v>
      </c>
      <c r="AM71" s="18">
        <v>2.7</v>
      </c>
      <c r="AN71" s="15"/>
      <c r="AO71" s="15"/>
      <c r="AP71" s="15"/>
      <c r="AQ71" s="15"/>
      <c r="AR71" s="51">
        <v>34.049999999999997</v>
      </c>
      <c r="AS71" s="51">
        <v>0.1</v>
      </c>
      <c r="AT71" s="22">
        <f>-19.264+0.558*AR71</f>
        <v>-0.26409999999999911</v>
      </c>
      <c r="AU71" s="22">
        <f>AT71-(-19.264+0.558*(AR71+AS71))</f>
        <v>-5.5800000000001404E-2</v>
      </c>
      <c r="AV71" s="22">
        <f>AVERAGE(N71)</f>
        <v>1.3995371653032862</v>
      </c>
      <c r="AW71" s="22">
        <v>0.04</v>
      </c>
      <c r="AX71" s="22">
        <f>AW71</f>
        <v>0.04</v>
      </c>
      <c r="AY71" s="60">
        <f>16.8-(4.38*(AV71-AT71))+(0.1*(AV71-AT71)^2)</f>
        <v>9.7900380777494469</v>
      </c>
      <c r="AZ71" s="22">
        <f>AY71-(16.8-(4.38*(AV71+AX71-AT71-AU71))+(0.1*(AV71-AX71-AT71+AU71)^2))</f>
        <v>0.4505615240872185</v>
      </c>
    </row>
    <row r="72" spans="1:52" x14ac:dyDescent="0.25">
      <c r="C72" s="1"/>
      <c r="T72" s="9"/>
      <c r="U72" s="34"/>
      <c r="V72" s="9"/>
      <c r="W72" s="34"/>
      <c r="X72" s="9"/>
      <c r="Y72" s="34"/>
      <c r="Z72" s="25"/>
      <c r="AA72" s="25"/>
      <c r="AB72" s="26"/>
      <c r="AC72" s="25"/>
      <c r="AD72" s="25"/>
      <c r="AE72" s="25"/>
      <c r="AF72" s="25"/>
      <c r="AG72" s="71"/>
      <c r="AH72" s="68"/>
      <c r="AI72" s="64"/>
      <c r="AJ72" s="64"/>
      <c r="AK72" s="64"/>
      <c r="AL72" s="55"/>
      <c r="AM72" s="18"/>
      <c r="AN72" s="15"/>
      <c r="AO72" s="15"/>
      <c r="AP72" s="15"/>
      <c r="AQ72" s="15"/>
    </row>
    <row r="73" spans="1:52" x14ac:dyDescent="0.25">
      <c r="A73" t="s">
        <v>85</v>
      </c>
      <c r="B73" t="s">
        <v>86</v>
      </c>
      <c r="C73" s="1">
        <v>43495</v>
      </c>
      <c r="D73" t="s">
        <v>81</v>
      </c>
      <c r="E73" t="s">
        <v>29</v>
      </c>
      <c r="F73" t="s">
        <v>161</v>
      </c>
      <c r="G73" s="33">
        <v>-0.78811927900000001</v>
      </c>
      <c r="H73" s="33">
        <v>5.3533249270000001</v>
      </c>
      <c r="I73" s="33">
        <v>4.3848072350000002</v>
      </c>
      <c r="J73" s="33">
        <v>10.68187739</v>
      </c>
      <c r="K73" s="33">
        <v>16.64118466</v>
      </c>
      <c r="L73" s="33">
        <v>1.0117945960000001</v>
      </c>
      <c r="M73" s="33">
        <v>41.251239869999999</v>
      </c>
      <c r="N73" s="33">
        <v>1.6661818209958028</v>
      </c>
      <c r="O73" s="33">
        <v>0</v>
      </c>
      <c r="P73" s="33">
        <v>-2.2199999999999999E-13</v>
      </c>
      <c r="Q73" s="37">
        <v>-6.0594232999999997E-2</v>
      </c>
      <c r="R73" s="33">
        <v>-5.2871956999999997E-2</v>
      </c>
      <c r="S73" s="33">
        <v>6.8762912030000001</v>
      </c>
      <c r="T73" s="9">
        <v>41.2</v>
      </c>
      <c r="U73" s="34">
        <v>0.94765312899999998</v>
      </c>
      <c r="V73" s="9">
        <v>24</v>
      </c>
      <c r="W73" s="34">
        <v>9.3977810809999998</v>
      </c>
      <c r="X73" s="9">
        <v>6</v>
      </c>
      <c r="Y73" s="34">
        <v>-0.28869571599999999</v>
      </c>
      <c r="Z73" s="25">
        <v>1.0870752770000001</v>
      </c>
      <c r="AA73" s="25">
        <v>0.92198510199999995</v>
      </c>
      <c r="AB73" s="26">
        <v>0.67015112656058695</v>
      </c>
      <c r="AC73" s="25">
        <f>AB73</f>
        <v>0.67015112656058695</v>
      </c>
      <c r="AD73" s="25">
        <v>3.370586464046349E-2</v>
      </c>
      <c r="AE73" s="25">
        <v>3.370586464046349E-2</v>
      </c>
      <c r="AF73" s="25"/>
      <c r="AG73" s="71">
        <v>0.71106648701649999</v>
      </c>
      <c r="AH73" s="68">
        <f>AG73</f>
        <v>0.71106648701649999</v>
      </c>
      <c r="AI73" s="64">
        <v>3.370586464046349E-2</v>
      </c>
      <c r="AJ73" s="64">
        <v>7.3205864640463497E-2</v>
      </c>
      <c r="AK73" s="64"/>
      <c r="AL73" s="55">
        <v>8.5</v>
      </c>
      <c r="AM73" s="18">
        <v>0.8</v>
      </c>
      <c r="AN73" s="15"/>
      <c r="AO73" s="15"/>
      <c r="AP73" s="15"/>
      <c r="AQ73" s="15"/>
      <c r="AR73" s="51">
        <v>34.090000000000003</v>
      </c>
      <c r="AS73" s="51">
        <v>0.1</v>
      </c>
      <c r="AT73" s="22">
        <f>-19.264+0.558*AR73</f>
        <v>-0.241779999999995</v>
      </c>
      <c r="AU73" s="22">
        <f>AT73-(-19.264+0.558*(AR73+AS73))</f>
        <v>-5.5800000000001404E-2</v>
      </c>
      <c r="AV73" s="22">
        <f>AVERAGE(N73)</f>
        <v>1.6661818209958028</v>
      </c>
      <c r="AW73" s="22">
        <v>0.04</v>
      </c>
      <c r="AX73" s="22">
        <f>AW73</f>
        <v>0.04</v>
      </c>
      <c r="AY73" s="60">
        <f>16.8-(4.38*(AV73-AT73))+(0.1*(AV73-AT73)^2)</f>
        <v>8.8071590550761663</v>
      </c>
      <c r="AZ73" s="22">
        <f>AY73-(16.8-(4.38*(AV73+AX73-AT73-AU73))+(0.1*(AV73-AX73-AT73+AU73)^2))</f>
        <v>0.45524278449028621</v>
      </c>
    </row>
    <row r="74" spans="1:52" x14ac:dyDescent="0.25">
      <c r="C74" s="1"/>
      <c r="T74" s="9"/>
      <c r="U74" s="34"/>
      <c r="V74" s="9"/>
      <c r="W74" s="34"/>
      <c r="X74" s="9"/>
      <c r="Y74" s="34"/>
      <c r="Z74" s="25"/>
      <c r="AA74" s="25"/>
      <c r="AB74" s="26"/>
      <c r="AC74" s="25"/>
      <c r="AD74" s="25"/>
      <c r="AE74" s="25"/>
      <c r="AF74" s="25"/>
      <c r="AG74" s="71"/>
      <c r="AH74" s="68"/>
      <c r="AI74" s="64"/>
      <c r="AJ74" s="64"/>
      <c r="AK74" s="64"/>
      <c r="AL74" s="55"/>
      <c r="AM74" s="18"/>
      <c r="AN74" s="15"/>
      <c r="AO74" s="15"/>
      <c r="AP74" s="15"/>
      <c r="AQ74" s="15"/>
    </row>
    <row r="75" spans="1:52" x14ac:dyDescent="0.25">
      <c r="A75" t="s">
        <v>87</v>
      </c>
      <c r="B75" t="s">
        <v>88</v>
      </c>
      <c r="C75" s="1">
        <v>43489</v>
      </c>
      <c r="D75" t="s">
        <v>89</v>
      </c>
      <c r="E75" t="s">
        <v>61</v>
      </c>
      <c r="F75" t="s">
        <v>162</v>
      </c>
      <c r="G75" s="33">
        <v>-1.1202094279999999</v>
      </c>
      <c r="H75" s="33">
        <v>4.9520728299999996</v>
      </c>
      <c r="I75" s="33">
        <v>3.6401112109999998</v>
      </c>
      <c r="J75" s="33">
        <v>9.7587978500000006</v>
      </c>
      <c r="K75" s="33">
        <v>6.4134952089999997</v>
      </c>
      <c r="L75" s="33">
        <v>0.670544433</v>
      </c>
      <c r="M75" s="33">
        <v>40.835995310000001</v>
      </c>
      <c r="N75" s="33">
        <v>1.2667251194155824</v>
      </c>
      <c r="O75" s="33">
        <v>0</v>
      </c>
      <c r="P75" s="33">
        <v>0</v>
      </c>
      <c r="Q75" s="37">
        <v>-6.6899268999999997E-2</v>
      </c>
      <c r="R75" s="33">
        <v>-0.16821269999999999</v>
      </c>
      <c r="S75" s="33">
        <v>-2.1175085980000001</v>
      </c>
      <c r="T75" s="9">
        <v>39.1</v>
      </c>
      <c r="U75" s="34">
        <v>0.97989193399999996</v>
      </c>
      <c r="V75" s="9">
        <v>12</v>
      </c>
      <c r="W75" s="34">
        <v>10.258126730000001</v>
      </c>
      <c r="X75" s="9">
        <v>6</v>
      </c>
      <c r="Y75" s="34">
        <v>-0.32925545099999998</v>
      </c>
      <c r="Z75" s="25">
        <v>1.0870752770000001</v>
      </c>
      <c r="AA75" s="25">
        <v>0.92198510199999995</v>
      </c>
      <c r="AB75" s="26">
        <v>0.62605964140041503</v>
      </c>
      <c r="AC75" s="25">
        <f>AVERAGE(AB75:AB76)</f>
        <v>0.64667658930786409</v>
      </c>
      <c r="AD75" s="25">
        <f>STDEV(AB75:AB76)</f>
        <v>2.9156767345453981E-2</v>
      </c>
      <c r="AE75" s="25">
        <f>0.0337058646404635/SQRT(2)</f>
        <v>2.3833645453027609E-2</v>
      </c>
      <c r="AF75" s="25"/>
      <c r="AG75" s="71">
        <v>0.66222329829350002</v>
      </c>
      <c r="AH75" s="68">
        <f>AVERAGE(AG75:AG76)</f>
        <v>0.68508094818850007</v>
      </c>
      <c r="AI75" s="64">
        <f>STDEV(AG75:AG76)</f>
        <v>3.2325598485484948E-2</v>
      </c>
      <c r="AJ75" s="64">
        <f>0.0732058646404635/SQRT(2)</f>
        <v>5.1764363309896234E-2</v>
      </c>
      <c r="AK75" s="64"/>
      <c r="AL75" s="55">
        <v>10.5</v>
      </c>
      <c r="AM75" s="18">
        <v>3.1</v>
      </c>
      <c r="AN75" s="15"/>
      <c r="AO75" s="15"/>
      <c r="AP75" s="15"/>
      <c r="AQ75" s="15"/>
      <c r="AR75" s="51">
        <v>33.96</v>
      </c>
      <c r="AS75" s="51">
        <v>7.0000000000000007E-2</v>
      </c>
      <c r="AT75" s="22">
        <f>-19.264+0.558*AR75</f>
        <v>-0.3143199999999986</v>
      </c>
      <c r="AU75" s="22">
        <f>AT75-(-19.264+0.558*(AR75+AS75))</f>
        <v>-3.9060000000002759E-2</v>
      </c>
      <c r="AV75" s="22">
        <f>AVERAGE(N75:N76)</f>
        <v>1.278638243114699</v>
      </c>
      <c r="AW75" s="22">
        <f>STDEV(N75:N76)</f>
        <v>1.6847701105518986E-2</v>
      </c>
      <c r="AX75" s="22">
        <f>AW75</f>
        <v>1.6847701105518986E-2</v>
      </c>
      <c r="AY75" s="60">
        <f>16.8-(4.38*(AV75-AT75))+(0.1*(AV75-AT75)^2)</f>
        <v>10.076594491588333</v>
      </c>
      <c r="AZ75" s="22">
        <f>AY75-(16.8-(4.38*(AV75+AX75-AT75-AU75))+(0.1*(AV75-AX75-AT75+AU75)^2))</f>
        <v>0.262374890403823</v>
      </c>
    </row>
    <row r="76" spans="1:52" x14ac:dyDescent="0.25">
      <c r="A76" t="s">
        <v>90</v>
      </c>
      <c r="B76" t="s">
        <v>88</v>
      </c>
      <c r="C76" s="1">
        <v>43495</v>
      </c>
      <c r="D76" t="s">
        <v>89</v>
      </c>
      <c r="E76" t="s">
        <v>61</v>
      </c>
      <c r="F76" t="s">
        <v>162</v>
      </c>
      <c r="G76" s="33">
        <v>-1.107068189</v>
      </c>
      <c r="H76" s="33">
        <v>4.9759910710000002</v>
      </c>
      <c r="I76" s="33">
        <v>3.6877771830000001</v>
      </c>
      <c r="J76" s="33">
        <v>9.8790613100000009</v>
      </c>
      <c r="K76" s="33">
        <v>10.345665500000001</v>
      </c>
      <c r="L76" s="33">
        <v>0.68375082300000001</v>
      </c>
      <c r="M76" s="33">
        <v>40.860763249999998</v>
      </c>
      <c r="N76" s="33">
        <v>1.2905513668138155</v>
      </c>
      <c r="O76" s="33">
        <v>0</v>
      </c>
      <c r="P76" s="33">
        <v>-2.2199999999999999E-13</v>
      </c>
      <c r="Q76" s="37">
        <v>-5.6379883999999998E-2</v>
      </c>
      <c r="R76" s="33">
        <v>-9.6728166000000004E-2</v>
      </c>
      <c r="S76" s="33">
        <v>1.7204343900000001</v>
      </c>
      <c r="T76" s="9">
        <v>40</v>
      </c>
      <c r="U76" s="34">
        <v>0.94765312899999998</v>
      </c>
      <c r="V76" s="9">
        <v>24</v>
      </c>
      <c r="W76" s="34">
        <v>9.3977810809999998</v>
      </c>
      <c r="X76" s="9">
        <v>6</v>
      </c>
      <c r="Y76" s="34">
        <v>-0.29132441100000001</v>
      </c>
      <c r="Z76" s="25">
        <v>1.0870752770000001</v>
      </c>
      <c r="AA76" s="25">
        <v>0.92198510199999995</v>
      </c>
      <c r="AB76" s="26">
        <v>0.66729353721531304</v>
      </c>
      <c r="AC76" s="25"/>
      <c r="AD76" s="25"/>
      <c r="AE76" s="25"/>
      <c r="AF76" s="25"/>
      <c r="AG76" s="71">
        <v>0.70793859808350001</v>
      </c>
      <c r="AH76" s="68"/>
      <c r="AI76" s="64"/>
      <c r="AJ76" s="64"/>
      <c r="AK76" s="64"/>
      <c r="AL76" s="55"/>
      <c r="AM76" s="18"/>
      <c r="AN76" s="15"/>
      <c r="AO76" s="15"/>
      <c r="AP76" s="15"/>
      <c r="AQ76" s="15"/>
    </row>
    <row r="77" spans="1:52" x14ac:dyDescent="0.25">
      <c r="C77" s="1"/>
      <c r="T77" s="9"/>
      <c r="U77" s="34"/>
      <c r="V77" s="9"/>
      <c r="W77" s="34"/>
      <c r="X77" s="9"/>
      <c r="Y77" s="34"/>
      <c r="Z77" s="25"/>
      <c r="AA77" s="25"/>
      <c r="AB77" s="26"/>
      <c r="AC77" s="25"/>
      <c r="AD77" s="25"/>
      <c r="AE77" s="25"/>
      <c r="AF77" s="25"/>
      <c r="AG77" s="71"/>
      <c r="AH77" s="68"/>
      <c r="AI77" s="64"/>
      <c r="AJ77" s="64"/>
      <c r="AK77" s="64"/>
      <c r="AL77" s="55"/>
      <c r="AM77" s="18"/>
      <c r="AN77" s="15"/>
      <c r="AO77" s="15"/>
      <c r="AP77" s="15"/>
      <c r="AQ77" s="15"/>
    </row>
    <row r="78" spans="1:52" x14ac:dyDescent="0.25">
      <c r="A78" t="s">
        <v>91</v>
      </c>
      <c r="B78" t="s">
        <v>92</v>
      </c>
      <c r="C78" s="1">
        <v>43494</v>
      </c>
      <c r="D78" t="s">
        <v>89</v>
      </c>
      <c r="E78" t="s">
        <v>29</v>
      </c>
      <c r="F78" t="s">
        <v>161</v>
      </c>
      <c r="G78" s="33">
        <v>-0.750401137</v>
      </c>
      <c r="H78" s="33">
        <v>5.1458412769999997</v>
      </c>
      <c r="I78" s="33">
        <v>4.2360349050000004</v>
      </c>
      <c r="J78" s="33">
        <v>10.23037901</v>
      </c>
      <c r="K78" s="33">
        <v>9.0985808820000003</v>
      </c>
      <c r="L78" s="33">
        <v>1.059908268</v>
      </c>
      <c r="M78" s="33">
        <v>41.03602935</v>
      </c>
      <c r="N78" s="33">
        <v>1.4591537398463288</v>
      </c>
      <c r="O78" s="33">
        <v>0</v>
      </c>
      <c r="P78" s="33">
        <v>-2.2199999999999999E-13</v>
      </c>
      <c r="Q78" s="37">
        <v>-4.4753299000000003E-2</v>
      </c>
      <c r="R78" s="33">
        <v>-8.6895212999999999E-2</v>
      </c>
      <c r="S78" s="33">
        <v>-0.22866782699999999</v>
      </c>
      <c r="T78" s="9">
        <v>39.799999999999997</v>
      </c>
      <c r="U78" s="34">
        <v>0.94765312899999998</v>
      </c>
      <c r="V78" s="9">
        <v>22</v>
      </c>
      <c r="W78" s="34">
        <v>9.3977810809999998</v>
      </c>
      <c r="X78" s="9">
        <v>6</v>
      </c>
      <c r="Y78" s="34">
        <v>-0.280878452</v>
      </c>
      <c r="Z78" s="25">
        <v>1.0870752770000001</v>
      </c>
      <c r="AA78" s="25">
        <v>0.92198510199999995</v>
      </c>
      <c r="AB78" s="26">
        <v>0.67864908098876897</v>
      </c>
      <c r="AC78" s="25">
        <f>AVERAGE(AB78:AB80)</f>
        <v>0.70538631746547364</v>
      </c>
      <c r="AD78" s="25">
        <f>STDEV(AB78:AB80)</f>
        <v>2.3670380926686864E-2</v>
      </c>
      <c r="AE78" s="25">
        <f>0.0337/SQRT(3)</f>
        <v>1.9456704071690391E-2</v>
      </c>
      <c r="AF78" s="25">
        <f>_xlfn.CONFIDENCE.T(0.05,AD78,3)</f>
        <v>5.8800485911478587E-2</v>
      </c>
      <c r="AG78" s="71">
        <v>0.72045015381550004</v>
      </c>
      <c r="AH78" s="68">
        <f>AVERAGE(AG78:AG80)</f>
        <v>0.75077253505030006</v>
      </c>
      <c r="AI78" s="64">
        <f>STDEV(AG78:AG80)</f>
        <v>2.6613251758832113E-2</v>
      </c>
      <c r="AJ78" s="64">
        <f>0.0732/SQRT(3)</f>
        <v>4.2262039704680607E-2</v>
      </c>
      <c r="AK78" s="64">
        <f>_xlfn.CONFIDENCE.T(0.05,AI78,3)</f>
        <v>6.6110982326420681E-2</v>
      </c>
      <c r="AL78" s="55">
        <v>9</v>
      </c>
      <c r="AM78" s="18">
        <v>0.6</v>
      </c>
      <c r="AN78" s="15"/>
      <c r="AO78" s="15"/>
      <c r="AP78" s="15"/>
      <c r="AQ78" s="15"/>
      <c r="AR78" s="51">
        <v>33.979999999999997</v>
      </c>
      <c r="AS78" s="51">
        <v>0.08</v>
      </c>
      <c r="AT78" s="22">
        <f>-19.264+0.558*AR78</f>
        <v>-0.30315999999999832</v>
      </c>
      <c r="AU78" s="22">
        <f>AT78-(-19.264+0.558*(AR78+AS78))</f>
        <v>-4.4639999999997571E-2</v>
      </c>
      <c r="AV78" s="22">
        <f>AVERAGE(N78:N80)</f>
        <v>1.4738667333707554</v>
      </c>
      <c r="AW78" s="22">
        <f>STDEV(N78:N80)</f>
        <v>2.4207294093635846E-2</v>
      </c>
      <c r="AX78" s="22">
        <f>AW78/SQRT(3)</f>
        <v>1.3976087761313094E-2</v>
      </c>
      <c r="AY78" s="60">
        <f>16.8-(4.38*(AV78-AT78))+(0.1*(AV78-AT78)^2)</f>
        <v>9.3324053089475321</v>
      </c>
      <c r="AZ78" s="22">
        <f>AY78-(16.8-(4.38*(AV78+AX78-AT78-AU78))+(0.1*(AV78-AX78-AT78+AU78)^2))</f>
        <v>0.27722735081158767</v>
      </c>
    </row>
    <row r="79" spans="1:52" x14ac:dyDescent="0.25">
      <c r="A79" t="s">
        <v>93</v>
      </c>
      <c r="B79" t="s">
        <v>92</v>
      </c>
      <c r="C79" s="1">
        <v>43497</v>
      </c>
      <c r="D79" t="s">
        <v>89</v>
      </c>
      <c r="E79" t="s">
        <v>29</v>
      </c>
      <c r="F79" t="s">
        <v>161</v>
      </c>
      <c r="G79" s="33">
        <v>-0.75529699400000005</v>
      </c>
      <c r="H79" s="33">
        <v>5.1885936260000003</v>
      </c>
      <c r="I79" s="33">
        <v>4.33111712</v>
      </c>
      <c r="J79" s="33">
        <v>10.473008569999999</v>
      </c>
      <c r="K79" s="33">
        <v>26.920474179999999</v>
      </c>
      <c r="L79" s="33">
        <v>1.0530781330000001</v>
      </c>
      <c r="M79" s="33">
        <v>41.080367080000002</v>
      </c>
      <c r="N79" s="33">
        <v>1.5018057215637555</v>
      </c>
      <c r="O79" s="33">
        <v>0</v>
      </c>
      <c r="P79" s="33">
        <v>-2.2199999999999999E-13</v>
      </c>
      <c r="Q79" s="37">
        <v>1.3161911E-2</v>
      </c>
      <c r="R79" s="33">
        <v>6.8181801E-2</v>
      </c>
      <c r="S79" s="33">
        <v>17.348777290000001</v>
      </c>
      <c r="T79" s="9">
        <v>37.200000000000003</v>
      </c>
      <c r="U79" s="34">
        <v>0.94765312899999998</v>
      </c>
      <c r="V79" s="9">
        <v>28</v>
      </c>
      <c r="W79" s="34">
        <v>9.3977810809999998</v>
      </c>
      <c r="X79" s="9">
        <v>6</v>
      </c>
      <c r="Y79" s="34">
        <v>-0.23946661299999999</v>
      </c>
      <c r="Z79" s="25">
        <v>1.0870752770000001</v>
      </c>
      <c r="AA79" s="25">
        <v>0.92198510199999995</v>
      </c>
      <c r="AB79" s="26">
        <v>0.72366686734077301</v>
      </c>
      <c r="AC79" s="25"/>
      <c r="AD79" s="25"/>
      <c r="AE79" s="25"/>
      <c r="AF79" s="25"/>
      <c r="AG79" s="71">
        <v>0.7702557699025</v>
      </c>
      <c r="AH79" s="68"/>
      <c r="AI79" s="64"/>
      <c r="AJ79" s="64"/>
      <c r="AK79" s="64"/>
      <c r="AL79" s="55"/>
      <c r="AM79" s="18"/>
      <c r="AN79" s="15"/>
      <c r="AO79" s="15"/>
      <c r="AP79" s="15"/>
      <c r="AQ79" s="15"/>
    </row>
    <row r="80" spans="1:52" x14ac:dyDescent="0.25">
      <c r="A80" t="s">
        <v>127</v>
      </c>
      <c r="B80" t="s">
        <v>92</v>
      </c>
      <c r="C80" s="1">
        <v>43530</v>
      </c>
      <c r="D80" t="s">
        <v>89</v>
      </c>
      <c r="E80" t="s">
        <v>29</v>
      </c>
      <c r="F80" t="s">
        <v>161</v>
      </c>
      <c r="G80" s="33">
        <v>-0.74774176299999995</v>
      </c>
      <c r="H80" s="33">
        <v>5.147338178</v>
      </c>
      <c r="I80" s="33">
        <v>4.2780873679999996</v>
      </c>
      <c r="J80" s="33">
        <v>10.24168528</v>
      </c>
      <c r="K80" s="33">
        <v>31.73887873</v>
      </c>
      <c r="L80" s="33">
        <v>1.0627044480000001</v>
      </c>
      <c r="M80" s="33">
        <v>41.03757512</v>
      </c>
      <c r="N80" s="33">
        <v>1.4606407387021818</v>
      </c>
      <c r="O80" s="33">
        <v>0</v>
      </c>
      <c r="P80" s="33">
        <v>-2.2199999999999999E-13</v>
      </c>
      <c r="Q80" s="37">
        <v>-7.0899680000000003E-3</v>
      </c>
      <c r="R80" s="33">
        <v>-7.8682627000000005E-2</v>
      </c>
      <c r="S80" s="33">
        <v>22.196471549999998</v>
      </c>
      <c r="T80" s="9">
        <v>37</v>
      </c>
      <c r="U80" s="34">
        <v>0.98488563299999998</v>
      </c>
      <c r="V80" s="9">
        <v>88</v>
      </c>
      <c r="W80" s="34">
        <v>9.2890589840000004</v>
      </c>
      <c r="X80" s="9">
        <v>6</v>
      </c>
      <c r="Y80" s="34">
        <v>-0.25814561600000002</v>
      </c>
      <c r="Z80" s="25">
        <v>1.0882909510000001</v>
      </c>
      <c r="AA80" s="25">
        <v>0.93278054200000005</v>
      </c>
      <c r="AB80" s="26">
        <v>0.71384300406687895</v>
      </c>
      <c r="AC80" s="25"/>
      <c r="AD80" s="25"/>
      <c r="AE80" s="25"/>
      <c r="AF80" s="25"/>
      <c r="AG80" s="71">
        <v>0.76161168143290003</v>
      </c>
      <c r="AH80" s="68"/>
      <c r="AI80" s="64"/>
      <c r="AJ80" s="64"/>
      <c r="AK80" s="64"/>
      <c r="AL80" s="55"/>
      <c r="AM80" s="18"/>
      <c r="AN80" s="15"/>
      <c r="AO80" s="15"/>
      <c r="AP80" s="15"/>
      <c r="AQ80" s="15"/>
    </row>
    <row r="81" spans="1:43" x14ac:dyDescent="0.25">
      <c r="C81" s="1"/>
      <c r="T81" s="9"/>
      <c r="U81" s="34"/>
      <c r="V81" s="9"/>
      <c r="W81" s="34"/>
      <c r="X81" s="9"/>
      <c r="Y81" s="34"/>
      <c r="Z81" s="25"/>
      <c r="AA81" s="25"/>
      <c r="AB81" s="26"/>
      <c r="AC81" s="25"/>
      <c r="AD81" s="25"/>
      <c r="AE81" s="25"/>
      <c r="AF81" s="25"/>
      <c r="AG81" s="71"/>
      <c r="AH81" s="68"/>
      <c r="AI81" s="64"/>
      <c r="AJ81" s="64"/>
      <c r="AK81" s="64"/>
      <c r="AL81" s="55"/>
      <c r="AM81" s="18"/>
      <c r="AN81" s="15"/>
      <c r="AO81" s="15"/>
      <c r="AP81" s="15"/>
      <c r="AQ81" s="15"/>
    </row>
    <row r="82" spans="1:43" x14ac:dyDescent="0.25">
      <c r="A82" t="s">
        <v>94</v>
      </c>
      <c r="B82" t="s">
        <v>95</v>
      </c>
      <c r="C82" s="1">
        <v>43489</v>
      </c>
      <c r="E82" t="s">
        <v>96</v>
      </c>
      <c r="G82" s="33">
        <v>-7.9188208370000002</v>
      </c>
      <c r="H82" s="33">
        <v>3.2934432199999999</v>
      </c>
      <c r="I82" s="33">
        <v>-4.9345696930000003</v>
      </c>
      <c r="J82" s="33">
        <v>6.4642421370000003</v>
      </c>
      <c r="K82" s="33">
        <v>-1.293459138</v>
      </c>
      <c r="L82" s="33">
        <v>-6.557933126</v>
      </c>
      <c r="M82" s="33">
        <v>39.132245019999999</v>
      </c>
      <c r="N82" s="33">
        <v>-0.37224751675796597</v>
      </c>
      <c r="O82" s="33">
        <v>0</v>
      </c>
      <c r="P82" s="33">
        <v>0</v>
      </c>
      <c r="Q82" s="37">
        <v>2.3593034999999998E-2</v>
      </c>
      <c r="R82" s="33">
        <v>-0.13269049099999999</v>
      </c>
      <c r="S82" s="33">
        <v>0.71953658700000001</v>
      </c>
      <c r="T82" s="9">
        <v>41.2</v>
      </c>
      <c r="U82" s="34">
        <v>0.97989193399999996</v>
      </c>
      <c r="V82" s="9">
        <v>12</v>
      </c>
      <c r="W82" s="34">
        <v>10.258126730000001</v>
      </c>
      <c r="X82" s="9">
        <v>6</v>
      </c>
      <c r="Y82" s="34">
        <v>-0.22539062400000001</v>
      </c>
      <c r="Z82" s="25">
        <v>1.0870752770000001</v>
      </c>
      <c r="AA82" s="25">
        <v>0.92198510199999995</v>
      </c>
      <c r="AB82" s="26">
        <v>0.738968526981997</v>
      </c>
      <c r="AC82" s="25">
        <f>AVERAGE(AB82:AB85)</f>
        <v>0.73843482956135476</v>
      </c>
      <c r="AD82" s="25">
        <f>STDEV(AB82:AB85)</f>
        <v>2.3419359055021811E-2</v>
      </c>
      <c r="AE82" s="25">
        <f>AD82/SQRT(4)</f>
        <v>1.1709679527510905E-2</v>
      </c>
      <c r="AF82" s="25">
        <f>_xlfn.CONFIDENCE.T(0.05,AD82,4)</f>
        <v>3.7265426348383368E-2</v>
      </c>
      <c r="AG82" s="71">
        <v>0.78721855219299997</v>
      </c>
      <c r="AH82" s="68">
        <f>AVERAGE(AG82:AG85)</f>
        <v>0.78715013539697498</v>
      </c>
      <c r="AI82" s="64">
        <f>STDEV(AG82:AG85)</f>
        <v>2.680281163154332E-2</v>
      </c>
      <c r="AJ82" s="64">
        <f>AI82/SQRT(4)</f>
        <v>1.340140581577166E-2</v>
      </c>
      <c r="AK82" s="64">
        <f>_xlfn.CONFIDENCE.T(0.05,AI82,4)</f>
        <v>4.264925442401013E-2</v>
      </c>
      <c r="AL82" s="55">
        <v>8.9</v>
      </c>
      <c r="AM82" s="18">
        <v>2.1</v>
      </c>
      <c r="AN82" s="15"/>
      <c r="AO82" s="15"/>
      <c r="AP82" s="15">
        <v>8.9</v>
      </c>
      <c r="AQ82" s="15">
        <v>0.185115008</v>
      </c>
    </row>
    <row r="83" spans="1:43" x14ac:dyDescent="0.25">
      <c r="A83" t="s">
        <v>128</v>
      </c>
      <c r="B83" t="s">
        <v>95</v>
      </c>
      <c r="C83" s="1">
        <v>43531</v>
      </c>
      <c r="E83" t="s">
        <v>96</v>
      </c>
      <c r="G83" s="33">
        <v>-7.8949008650000003</v>
      </c>
      <c r="H83" s="33">
        <v>3.2546273389999998</v>
      </c>
      <c r="I83" s="33">
        <v>-4.9554649270000004</v>
      </c>
      <c r="J83" s="33">
        <v>6.3932521080000004</v>
      </c>
      <c r="K83" s="33">
        <v>47.008154900000001</v>
      </c>
      <c r="L83" s="33">
        <v>-6.5486325870000002</v>
      </c>
      <c r="M83" s="33">
        <v>39.09194342</v>
      </c>
      <c r="N83" s="33">
        <v>-0.41101682466762668</v>
      </c>
      <c r="O83" s="33">
        <v>0</v>
      </c>
      <c r="P83" s="33">
        <v>9.9899999999999992E-12</v>
      </c>
      <c r="Q83" s="37">
        <v>1.5751174999999999E-2</v>
      </c>
      <c r="R83" s="33">
        <v>-0.125849289</v>
      </c>
      <c r="S83" s="33">
        <v>49.171298890000003</v>
      </c>
      <c r="T83" s="9">
        <v>42.6</v>
      </c>
      <c r="U83" s="34">
        <v>0.83279736599999998</v>
      </c>
      <c r="V83" s="9">
        <v>96</v>
      </c>
      <c r="W83" s="34">
        <v>9.5999042479999996</v>
      </c>
      <c r="X83" s="9">
        <v>22</v>
      </c>
      <c r="Y83" s="34">
        <v>-0.20959869</v>
      </c>
      <c r="Z83" s="25">
        <v>1.0882909510000001</v>
      </c>
      <c r="AA83" s="25">
        <v>0.93278054200000005</v>
      </c>
      <c r="AB83" s="26">
        <v>0.76667618433154605</v>
      </c>
      <c r="AC83" s="25"/>
      <c r="AD83" s="25"/>
      <c r="AE83" s="25"/>
      <c r="AF83" s="25"/>
      <c r="AG83" s="71">
        <v>0.82002832564640005</v>
      </c>
      <c r="AH83" s="68"/>
      <c r="AI83" s="64"/>
      <c r="AJ83" s="64"/>
      <c r="AK83" s="64"/>
      <c r="AL83" s="55"/>
      <c r="AM83" s="18"/>
      <c r="AN83" s="15"/>
      <c r="AO83" s="15"/>
      <c r="AP83" s="15"/>
      <c r="AQ83" s="15"/>
    </row>
    <row r="84" spans="1:43" x14ac:dyDescent="0.25">
      <c r="A84" t="s">
        <v>97</v>
      </c>
      <c r="B84" t="s">
        <v>95</v>
      </c>
      <c r="C84" s="1">
        <v>43486</v>
      </c>
      <c r="E84" t="s">
        <v>96</v>
      </c>
      <c r="G84" s="33">
        <v>-7.9306496060000002</v>
      </c>
      <c r="H84" s="33">
        <v>3.2359478670000001</v>
      </c>
      <c r="I84" s="33">
        <v>-5.0149542220000001</v>
      </c>
      <c r="J84" s="33">
        <v>6.3285969770000001</v>
      </c>
      <c r="K84" s="33">
        <v>10.078398999999999</v>
      </c>
      <c r="L84" s="33">
        <v>-6.5684890630000003</v>
      </c>
      <c r="M84" s="33">
        <v>39.072660319999997</v>
      </c>
      <c r="N84" s="33">
        <v>-0.42956676912012881</v>
      </c>
      <c r="O84" s="33">
        <v>0</v>
      </c>
      <c r="P84" s="33">
        <v>2.2199999999999999E-13</v>
      </c>
      <c r="Q84" s="37">
        <v>1.1445583E-2</v>
      </c>
      <c r="R84" s="33">
        <v>-0.15285422300000001</v>
      </c>
      <c r="S84" s="33">
        <v>12.2411525</v>
      </c>
      <c r="T84" s="9">
        <v>41</v>
      </c>
      <c r="U84" s="34">
        <v>0.97374777099999998</v>
      </c>
      <c r="V84" s="9">
        <v>8</v>
      </c>
      <c r="W84" s="34">
        <v>10.82834557</v>
      </c>
      <c r="X84" s="9">
        <v>6</v>
      </c>
      <c r="Y84" s="34">
        <v>-0.25266040699999998</v>
      </c>
      <c r="Z84" s="25">
        <v>1.0870752770000001</v>
      </c>
      <c r="AA84" s="25">
        <v>0.92198510199999995</v>
      </c>
      <c r="AB84" s="26">
        <v>0.70932422007354201</v>
      </c>
      <c r="AC84" s="25"/>
      <c r="AD84" s="25"/>
      <c r="AE84" s="25"/>
      <c r="AF84" s="25"/>
      <c r="AG84" s="71">
        <v>0.75437571839649997</v>
      </c>
      <c r="AH84" s="68"/>
      <c r="AI84" s="64"/>
      <c r="AJ84" s="64"/>
      <c r="AK84" s="64"/>
      <c r="AL84" s="55"/>
      <c r="AM84" s="18"/>
      <c r="AN84" s="15"/>
      <c r="AO84" s="15"/>
      <c r="AP84" s="15"/>
      <c r="AQ84" s="15"/>
    </row>
    <row r="85" spans="1:43" x14ac:dyDescent="0.25">
      <c r="A85" t="s">
        <v>98</v>
      </c>
      <c r="B85" t="s">
        <v>95</v>
      </c>
      <c r="C85" s="1">
        <v>43496</v>
      </c>
      <c r="E85" t="s">
        <v>96</v>
      </c>
      <c r="G85" s="33">
        <v>-7.9291043190000003</v>
      </c>
      <c r="H85" s="33">
        <v>3.2594977759999999</v>
      </c>
      <c r="I85" s="33">
        <v>-4.9849322989999996</v>
      </c>
      <c r="J85" s="33">
        <v>6.4669709270000002</v>
      </c>
      <c r="K85" s="33">
        <v>128.6239501</v>
      </c>
      <c r="L85" s="33">
        <v>-6.5677035439999996</v>
      </c>
      <c r="M85" s="33">
        <v>39.097073760000001</v>
      </c>
      <c r="N85" s="33">
        <v>-0.4060815434096412</v>
      </c>
      <c r="O85" s="33">
        <v>0</v>
      </c>
      <c r="P85" s="33">
        <v>0</v>
      </c>
      <c r="Q85" s="37">
        <v>1.6936013E-2</v>
      </c>
      <c r="R85" s="33">
        <v>-6.2317009E-2</v>
      </c>
      <c r="S85" s="33">
        <v>130.98648929999999</v>
      </c>
      <c r="T85" s="9">
        <v>42.3</v>
      </c>
      <c r="U85" s="34">
        <v>0.97989193399999996</v>
      </c>
      <c r="V85" s="9">
        <v>26</v>
      </c>
      <c r="W85" s="34">
        <v>10.258126730000001</v>
      </c>
      <c r="X85" s="9">
        <v>6</v>
      </c>
      <c r="Y85" s="34">
        <v>-0.225572893</v>
      </c>
      <c r="Z85" s="25">
        <v>1.0870752770000001</v>
      </c>
      <c r="AA85" s="25">
        <v>0.92198510199999995</v>
      </c>
      <c r="AB85" s="26">
        <v>0.73877038685833396</v>
      </c>
      <c r="AC85" s="25"/>
      <c r="AD85" s="25"/>
      <c r="AE85" s="25"/>
      <c r="AF85" s="25"/>
      <c r="AG85" s="71">
        <v>0.78697794535200005</v>
      </c>
      <c r="AH85" s="68"/>
      <c r="AI85" s="64"/>
      <c r="AJ85" s="64"/>
      <c r="AK85" s="64"/>
      <c r="AL85" s="55"/>
      <c r="AM85" s="18"/>
      <c r="AN85" s="15"/>
      <c r="AO85" s="15"/>
      <c r="AP85" s="15"/>
      <c r="AQ85" s="15"/>
    </row>
    <row r="86" spans="1:43" x14ac:dyDescent="0.25">
      <c r="C86" s="1"/>
      <c r="T86" s="9"/>
      <c r="U86" s="34"/>
      <c r="V86" s="9"/>
      <c r="W86" s="34"/>
      <c r="X86" s="9"/>
      <c r="Y86" s="34"/>
      <c r="Z86" s="25"/>
      <c r="AA86" s="25"/>
      <c r="AB86" s="26"/>
      <c r="AC86" s="25"/>
      <c r="AD86" s="25"/>
      <c r="AE86" s="25"/>
      <c r="AF86" s="25"/>
      <c r="AG86" s="71"/>
      <c r="AH86" s="68"/>
      <c r="AI86" s="64"/>
      <c r="AJ86" s="64"/>
      <c r="AK86" s="64"/>
      <c r="AL86" s="55"/>
      <c r="AM86" s="18"/>
      <c r="AN86" s="15"/>
      <c r="AO86" s="15"/>
      <c r="AP86" s="15"/>
      <c r="AQ86" s="15"/>
    </row>
    <row r="87" spans="1:43" x14ac:dyDescent="0.25">
      <c r="A87" t="s">
        <v>99</v>
      </c>
      <c r="B87" t="s">
        <v>20</v>
      </c>
      <c r="C87" s="1">
        <v>43493</v>
      </c>
      <c r="E87" t="s">
        <v>21</v>
      </c>
      <c r="G87" s="33">
        <v>0.33285248000000001</v>
      </c>
      <c r="H87" s="33">
        <v>-10.645611600000001</v>
      </c>
      <c r="I87" s="33">
        <v>-10.26309238</v>
      </c>
      <c r="J87" s="33">
        <v>-21.120935209999999</v>
      </c>
      <c r="K87" s="33">
        <v>-12.067290570000001</v>
      </c>
      <c r="L87" s="33">
        <v>2.807421315</v>
      </c>
      <c r="M87" s="33">
        <v>24.660780920000001</v>
      </c>
      <c r="N87" s="33">
        <v>-14.293497481896793</v>
      </c>
      <c r="O87" s="33">
        <v>0</v>
      </c>
      <c r="P87" s="33">
        <v>0</v>
      </c>
      <c r="Q87" s="37">
        <v>-0.13580668300000001</v>
      </c>
      <c r="R87" s="33">
        <v>5.8198036000000002E-2</v>
      </c>
      <c r="S87" s="33">
        <v>8.5751674100000006</v>
      </c>
      <c r="T87" s="9">
        <v>42.1</v>
      </c>
      <c r="U87" s="34">
        <v>0.97538351400000001</v>
      </c>
      <c r="V87" s="9">
        <v>20</v>
      </c>
      <c r="W87" s="34">
        <v>10.08120598</v>
      </c>
      <c r="X87" s="9">
        <v>6</v>
      </c>
      <c r="Y87" s="34">
        <v>-0.37526525700000002</v>
      </c>
      <c r="Z87" s="25">
        <v>1.0870752770000001</v>
      </c>
      <c r="AA87" s="25">
        <v>0.92198510199999995</v>
      </c>
      <c r="AB87" s="26">
        <v>0.576043518798249</v>
      </c>
      <c r="AC87" s="25">
        <f>AVERAGE(AB87:AB95)</f>
        <v>0.60493090814389239</v>
      </c>
      <c r="AD87" s="25">
        <f>STDEV(AB87:AB95)</f>
        <v>3.4508021816781274E-2</v>
      </c>
      <c r="AE87" s="25">
        <f>AD87/SQRT(COUNT(AB87:AB95))</f>
        <v>1.1502673938927092E-2</v>
      </c>
      <c r="AF87" s="25">
        <f>_xlfn.CONFIDENCE.T(0.05,AD87,COUNT(AB87:AB95))</f>
        <v>2.6525213669071079E-2</v>
      </c>
      <c r="AG87" s="71">
        <v>0.60688372486349995</v>
      </c>
      <c r="AH87" s="68">
        <f>AVERAGE(AG87:AG95)</f>
        <v>0.59360385587236664</v>
      </c>
      <c r="AI87" s="64">
        <f>STDEV(AG87:AG95)</f>
        <v>4.47177478241104E-2</v>
      </c>
      <c r="AJ87" s="64">
        <f>AI87/SQRT(COUNT(AG87:AG95))</f>
        <v>1.4905915941370133E-2</v>
      </c>
      <c r="AK87" s="64">
        <f>_xlfn.CONFIDENCE.T(0.05,AI87,COUNT(AG87:AG95))</f>
        <v>3.4373103799805245E-2</v>
      </c>
      <c r="AL87" s="55">
        <v>56</v>
      </c>
      <c r="AM87" s="18">
        <v>2</v>
      </c>
      <c r="AN87" s="15"/>
      <c r="AO87" s="15"/>
      <c r="AP87" s="15">
        <v>56</v>
      </c>
      <c r="AQ87" s="15">
        <v>0.111156293</v>
      </c>
    </row>
    <row r="88" spans="1:43" x14ac:dyDescent="0.25">
      <c r="A88" t="s">
        <v>100</v>
      </c>
      <c r="B88" t="s">
        <v>20</v>
      </c>
      <c r="C88" s="1">
        <v>43497</v>
      </c>
      <c r="E88" t="s">
        <v>21</v>
      </c>
      <c r="G88" s="33">
        <v>0.32464866399999998</v>
      </c>
      <c r="H88" s="33">
        <v>-10.636665320000001</v>
      </c>
      <c r="I88" s="33">
        <v>-10.233509809999999</v>
      </c>
      <c r="J88" s="33">
        <v>-21.191819420000002</v>
      </c>
      <c r="K88" s="33">
        <v>-20.306411099999998</v>
      </c>
      <c r="L88" s="33">
        <v>2.7982915300000002</v>
      </c>
      <c r="M88" s="33">
        <v>24.67007555</v>
      </c>
      <c r="N88" s="33">
        <v>-14.284556239554718</v>
      </c>
      <c r="O88" s="33">
        <v>0</v>
      </c>
      <c r="P88" s="33">
        <v>-2.2199999999999999E-13</v>
      </c>
      <c r="Q88" s="37">
        <v>-0.106354741</v>
      </c>
      <c r="R88" s="33">
        <v>-3.2304495000000003E-2</v>
      </c>
      <c r="S88" s="33">
        <v>0.15485480700000001</v>
      </c>
      <c r="T88" s="9">
        <v>42</v>
      </c>
      <c r="U88" s="34">
        <v>0.94765312899999998</v>
      </c>
      <c r="V88" s="9">
        <v>28</v>
      </c>
      <c r="W88" s="34">
        <v>9.3977810809999998</v>
      </c>
      <c r="X88" s="9">
        <v>6</v>
      </c>
      <c r="Y88" s="34">
        <v>-0.33011143300000001</v>
      </c>
      <c r="Z88" s="25">
        <v>1.0870752770000001</v>
      </c>
      <c r="AA88" s="25">
        <v>0.92198510199999995</v>
      </c>
      <c r="AB88" s="26">
        <v>0.62512912453065805</v>
      </c>
      <c r="AC88" s="25"/>
      <c r="AD88" s="25"/>
      <c r="AE88" s="25"/>
      <c r="AF88" s="25"/>
      <c r="AG88" s="71">
        <v>0.66126087092950003</v>
      </c>
      <c r="AH88" s="68"/>
      <c r="AI88" s="64"/>
      <c r="AJ88" s="64"/>
      <c r="AK88" s="64"/>
      <c r="AL88" s="55"/>
      <c r="AM88" s="18"/>
      <c r="AN88" s="15"/>
      <c r="AO88" s="15"/>
      <c r="AP88" s="15"/>
      <c r="AQ88" s="15"/>
    </row>
    <row r="89" spans="1:43" x14ac:dyDescent="0.25">
      <c r="A89" t="s">
        <v>19</v>
      </c>
      <c r="B89" t="s">
        <v>20</v>
      </c>
      <c r="C89" s="1">
        <v>43410</v>
      </c>
      <c r="E89" t="s">
        <v>21</v>
      </c>
      <c r="G89" s="33">
        <v>0.31640486400000001</v>
      </c>
      <c r="H89" s="33">
        <v>-10.56649668</v>
      </c>
      <c r="I89" s="33">
        <v>-10.252729029999999</v>
      </c>
      <c r="J89" s="33">
        <v>-20.973716750000001</v>
      </c>
      <c r="K89" s="33">
        <v>11.939813689999999</v>
      </c>
      <c r="L89" s="33">
        <v>2.7816040200000001</v>
      </c>
      <c r="M89" s="33">
        <v>24.743013449999999</v>
      </c>
      <c r="N89" s="33">
        <v>-14.21439148422553</v>
      </c>
      <c r="O89" s="33">
        <v>0</v>
      </c>
      <c r="P89" s="33">
        <v>0</v>
      </c>
      <c r="Q89" s="37">
        <v>-0.18472518900000001</v>
      </c>
      <c r="R89" s="33">
        <v>4.8654746999999998E-2</v>
      </c>
      <c r="S89" s="33">
        <v>32.944686609999998</v>
      </c>
      <c r="T89" s="9">
        <v>43.7</v>
      </c>
      <c r="U89" s="34">
        <v>0.86708982300000004</v>
      </c>
      <c r="V89" s="9">
        <v>69</v>
      </c>
      <c r="W89" s="34">
        <v>8.03625568</v>
      </c>
      <c r="X89" s="9">
        <v>18</v>
      </c>
      <c r="Y89" s="34">
        <v>-0.36862119999999998</v>
      </c>
      <c r="Z89" s="25">
        <v>1.0733974120000001</v>
      </c>
      <c r="AA89" s="25">
        <v>0.90543711500000001</v>
      </c>
      <c r="AB89" s="26">
        <v>0.57176007291166597</v>
      </c>
      <c r="AC89" s="25"/>
      <c r="AD89" s="25"/>
      <c r="AE89" s="25"/>
      <c r="AF89" s="25"/>
      <c r="AG89" s="71">
        <v>0.61768807225</v>
      </c>
      <c r="AH89" s="68"/>
      <c r="AI89" s="64"/>
      <c r="AJ89" s="64"/>
      <c r="AK89" s="64"/>
      <c r="AL89" s="55"/>
      <c r="AM89" s="18"/>
      <c r="AN89" s="15"/>
      <c r="AO89" s="15"/>
      <c r="AP89" s="15"/>
      <c r="AQ89" s="15"/>
    </row>
    <row r="90" spans="1:43" x14ac:dyDescent="0.25">
      <c r="A90" t="s">
        <v>150</v>
      </c>
      <c r="B90" t="s">
        <v>20</v>
      </c>
      <c r="C90" s="1">
        <v>43195</v>
      </c>
      <c r="E90" t="s">
        <v>21</v>
      </c>
      <c r="G90" s="33">
        <v>0.35139825400000002</v>
      </c>
      <c r="H90" s="33">
        <v>-10.47439331</v>
      </c>
      <c r="I90" s="33">
        <v>-10.14509009</v>
      </c>
      <c r="J90" s="33">
        <v>-20.7787422</v>
      </c>
      <c r="K90" s="33">
        <v>-49.205139600000003</v>
      </c>
      <c r="L90" s="33">
        <v>2.8656739299999998</v>
      </c>
      <c r="M90" s="33">
        <v>24.594507830000001</v>
      </c>
      <c r="N90" s="33">
        <v>-14.357250827479334</v>
      </c>
      <c r="O90" s="33">
        <v>0</v>
      </c>
      <c r="P90" s="33">
        <v>0</v>
      </c>
      <c r="Q90" s="37">
        <v>-0.20355295400000001</v>
      </c>
      <c r="R90" s="33">
        <v>6.1622155999999997E-2</v>
      </c>
      <c r="S90" s="33">
        <v>-29.683083790000001</v>
      </c>
      <c r="T90" s="9"/>
      <c r="U90" s="34"/>
      <c r="V90" s="9"/>
      <c r="W90" s="34"/>
      <c r="X90" s="9"/>
      <c r="Y90" s="34">
        <f t="shared" ref="Y90:Y95" si="0">Q90</f>
        <v>-0.20355295400000001</v>
      </c>
      <c r="Z90" s="25">
        <v>1.1158868271067399</v>
      </c>
      <c r="AA90" s="25">
        <v>0.79244448471903906</v>
      </c>
      <c r="AB90" s="26">
        <f t="shared" ref="AB90:AB95" si="1">(Z90*Y90)+AA90+0.062</f>
        <v>0.62730242473177489</v>
      </c>
      <c r="AC90" s="25"/>
      <c r="AD90" s="25"/>
      <c r="AE90" s="25"/>
      <c r="AF90" s="25"/>
      <c r="AG90" s="71">
        <f>(Y90*1.25567)+0.84878</f>
        <v>0.59318466225081989</v>
      </c>
      <c r="AH90" s="68"/>
      <c r="AI90" s="64"/>
      <c r="AJ90" s="64"/>
      <c r="AK90" s="64"/>
      <c r="AL90" s="55"/>
      <c r="AM90" s="18"/>
      <c r="AN90" s="15"/>
      <c r="AO90" s="15"/>
      <c r="AP90" s="15"/>
      <c r="AQ90" s="15"/>
    </row>
    <row r="91" spans="1:43" x14ac:dyDescent="0.25">
      <c r="A91" t="s">
        <v>151</v>
      </c>
      <c r="B91" t="s">
        <v>20</v>
      </c>
      <c r="C91" s="1">
        <v>43195</v>
      </c>
      <c r="E91" t="s">
        <v>21</v>
      </c>
      <c r="G91" s="33">
        <v>0.35967634900000001</v>
      </c>
      <c r="H91" s="33">
        <v>-10.55826836</v>
      </c>
      <c r="I91" s="33">
        <v>-10.24198136</v>
      </c>
      <c r="J91" s="33">
        <v>-20.94872483</v>
      </c>
      <c r="K91" s="33">
        <v>-38.418915009999999</v>
      </c>
      <c r="L91" s="33">
        <v>2.8776272660000002</v>
      </c>
      <c r="M91" s="33">
        <v>24.507548809999999</v>
      </c>
      <c r="N91" s="33">
        <v>-14.440903611038607</v>
      </c>
      <c r="O91" s="33">
        <v>0</v>
      </c>
      <c r="P91" s="33">
        <v>-2.2199999999999999E-13</v>
      </c>
      <c r="Q91" s="37">
        <v>-0.22659843499999999</v>
      </c>
      <c r="R91" s="33">
        <v>5.7550326999999998E-2</v>
      </c>
      <c r="S91" s="33">
        <v>-18.52049659</v>
      </c>
      <c r="T91" s="9"/>
      <c r="U91" s="34"/>
      <c r="V91" s="9"/>
      <c r="W91" s="34"/>
      <c r="X91" s="9"/>
      <c r="Y91" s="34">
        <f t="shared" si="0"/>
        <v>-0.22659843499999999</v>
      </c>
      <c r="Z91" s="25">
        <v>1.115886827</v>
      </c>
      <c r="AA91" s="25">
        <v>0.79244448499999998</v>
      </c>
      <c r="AB91" s="26">
        <f t="shared" si="1"/>
        <v>0.6015862763646842</v>
      </c>
      <c r="AC91" s="25"/>
      <c r="AD91" s="25"/>
      <c r="AE91" s="25"/>
      <c r="AF91" s="25"/>
      <c r="AG91" s="71">
        <f>(Y91*1.25567)+0.84878</f>
        <v>0.56424714312354995</v>
      </c>
      <c r="AH91" s="68"/>
      <c r="AI91" s="64"/>
      <c r="AJ91" s="64"/>
      <c r="AK91" s="64"/>
      <c r="AL91" s="55"/>
      <c r="AM91" s="18"/>
      <c r="AN91" s="15"/>
      <c r="AO91" s="15"/>
      <c r="AP91" s="15"/>
      <c r="AQ91" s="15"/>
    </row>
    <row r="92" spans="1:43" x14ac:dyDescent="0.25">
      <c r="A92" t="s">
        <v>152</v>
      </c>
      <c r="B92" t="s">
        <v>20</v>
      </c>
      <c r="C92" s="1">
        <v>43201</v>
      </c>
      <c r="E92" t="s">
        <v>21</v>
      </c>
      <c r="G92" s="33">
        <v>0.33408446600000002</v>
      </c>
      <c r="H92" s="33">
        <v>-10.47875822</v>
      </c>
      <c r="I92" s="33">
        <v>-10.19005514</v>
      </c>
      <c r="J92" s="33">
        <v>-20.873799219999999</v>
      </c>
      <c r="K92" s="33">
        <v>-33.283773119999999</v>
      </c>
      <c r="L92" s="33">
        <v>2.847284304</v>
      </c>
      <c r="M92" s="33">
        <v>24.590023169999998</v>
      </c>
      <c r="N92" s="33">
        <v>-14.361564977895341</v>
      </c>
      <c r="O92" s="33">
        <v>0</v>
      </c>
      <c r="P92" s="33">
        <v>0</v>
      </c>
      <c r="Q92" s="37">
        <v>-0.226792365</v>
      </c>
      <c r="R92" s="33">
        <v>-2.6636106999999999E-2</v>
      </c>
      <c r="S92" s="33">
        <v>-13.408086519999999</v>
      </c>
      <c r="T92" s="9"/>
      <c r="U92" s="34"/>
      <c r="V92" s="9"/>
      <c r="W92" s="34"/>
      <c r="X92" s="9"/>
      <c r="Y92" s="34">
        <f t="shared" si="0"/>
        <v>-0.226792365</v>
      </c>
      <c r="Z92" s="25">
        <v>1.1158868271067399</v>
      </c>
      <c r="AA92" s="25">
        <v>0.79244448471903906</v>
      </c>
      <c r="AB92" s="26">
        <f t="shared" si="1"/>
        <v>0.60136987212715542</v>
      </c>
      <c r="AC92" s="25"/>
      <c r="AD92" s="25"/>
      <c r="AE92" s="25"/>
      <c r="AF92" s="25"/>
      <c r="AG92" s="71">
        <f>(Y92*1.25567)+0.84878</f>
        <v>0.56400363104044993</v>
      </c>
      <c r="AH92" s="68"/>
      <c r="AI92" s="64"/>
      <c r="AJ92" s="64"/>
      <c r="AK92" s="64"/>
      <c r="AL92" s="55"/>
      <c r="AM92" s="18"/>
      <c r="AN92" s="15"/>
      <c r="AO92" s="15"/>
      <c r="AP92" s="15"/>
      <c r="AQ92" s="15"/>
    </row>
    <row r="93" spans="1:43" x14ac:dyDescent="0.25">
      <c r="A93" t="s">
        <v>153</v>
      </c>
      <c r="B93" t="s">
        <v>20</v>
      </c>
      <c r="C93" s="1">
        <v>43207</v>
      </c>
      <c r="E93" t="s">
        <v>21</v>
      </c>
      <c r="G93" s="33">
        <v>0.365458597</v>
      </c>
      <c r="H93" s="33">
        <v>-10.57678093</v>
      </c>
      <c r="I93" s="33">
        <v>-10.27679399</v>
      </c>
      <c r="J93" s="33">
        <v>-21.116009160000001</v>
      </c>
      <c r="K93" s="33">
        <v>-50.421834400000002</v>
      </c>
      <c r="L93" s="33">
        <v>2.8845031410000002</v>
      </c>
      <c r="M93" s="33">
        <v>24.488346490000001</v>
      </c>
      <c r="N93" s="33">
        <v>-14.459375846797457</v>
      </c>
      <c r="O93" s="33">
        <v>0</v>
      </c>
      <c r="P93" s="33">
        <v>-2.2199999999999999E-13</v>
      </c>
      <c r="Q93" s="37">
        <v>-0.24932362599999999</v>
      </c>
      <c r="R93" s="33">
        <v>-7.5906132000000001E-2</v>
      </c>
      <c r="S93" s="33">
        <v>-30.742109549999999</v>
      </c>
      <c r="T93" s="9"/>
      <c r="U93" s="34"/>
      <c r="V93" s="9"/>
      <c r="W93" s="34"/>
      <c r="X93" s="9"/>
      <c r="Y93" s="34">
        <f t="shared" si="0"/>
        <v>-0.24932362599999999</v>
      </c>
      <c r="Z93" s="25">
        <v>1.1158868271067399</v>
      </c>
      <c r="AA93" s="25">
        <v>0.79244448471903906</v>
      </c>
      <c r="AB93" s="26">
        <f t="shared" si="1"/>
        <v>0.57622753477915167</v>
      </c>
      <c r="AC93" s="25"/>
      <c r="AD93" s="25"/>
      <c r="AE93" s="25"/>
      <c r="AF93" s="25"/>
      <c r="AG93" s="71">
        <f>(Y93*1.25567)+0.84878</f>
        <v>0.53571180254058004</v>
      </c>
      <c r="AH93" s="68"/>
      <c r="AI93" s="64"/>
      <c r="AJ93" s="64"/>
      <c r="AK93" s="64"/>
      <c r="AL93" s="55"/>
      <c r="AM93" s="18"/>
      <c r="AN93" s="15"/>
      <c r="AO93" s="15"/>
      <c r="AP93" s="15"/>
      <c r="AQ93" s="15"/>
    </row>
    <row r="94" spans="1:43" x14ac:dyDescent="0.25">
      <c r="A94" t="s">
        <v>154</v>
      </c>
      <c r="B94" t="s">
        <v>20</v>
      </c>
      <c r="C94" s="1">
        <v>43360</v>
      </c>
      <c r="E94" t="s">
        <v>21</v>
      </c>
      <c r="G94" s="33">
        <v>0.333579823</v>
      </c>
      <c r="H94" s="33">
        <v>-10.762482049999999</v>
      </c>
      <c r="I94" s="33">
        <v>-10.381627930000001</v>
      </c>
      <c r="J94" s="33">
        <v>-21.4795862</v>
      </c>
      <c r="K94" s="33">
        <v>-14.88771719</v>
      </c>
      <c r="L94" s="33">
        <v>2.8125620119999999</v>
      </c>
      <c r="M94" s="33">
        <v>24.53960777</v>
      </c>
      <c r="N94" s="33">
        <v>-14.410063552790348</v>
      </c>
      <c r="O94" s="33">
        <v>0</v>
      </c>
      <c r="P94" s="33">
        <v>-2.2199999999999999E-13</v>
      </c>
      <c r="Q94" s="37">
        <v>-0.140166653</v>
      </c>
      <c r="R94" s="33">
        <v>-7.1987691000000006E-2</v>
      </c>
      <c r="S94" s="33">
        <v>5.9285554380000001</v>
      </c>
      <c r="T94" s="9"/>
      <c r="U94" s="34"/>
      <c r="V94" s="9"/>
      <c r="W94" s="34"/>
      <c r="X94" s="9"/>
      <c r="Y94" s="34">
        <f t="shared" si="0"/>
        <v>-0.140166653</v>
      </c>
      <c r="Z94" s="25">
        <v>1.1083768965774099</v>
      </c>
      <c r="AA94" s="25">
        <v>0.77229988161916396</v>
      </c>
      <c r="AB94" s="26">
        <f t="shared" si="1"/>
        <v>0.67894240176338116</v>
      </c>
      <c r="AC94" s="25"/>
      <c r="AD94" s="25"/>
      <c r="AE94" s="25"/>
      <c r="AF94" s="25"/>
      <c r="AG94" s="71">
        <f>(Y94*1.25085)+0.82749</f>
        <v>0.65216254209494995</v>
      </c>
      <c r="AH94" s="68"/>
      <c r="AI94" s="64"/>
      <c r="AJ94" s="64"/>
      <c r="AK94" s="64"/>
      <c r="AL94" s="55"/>
      <c r="AM94" s="18"/>
      <c r="AN94" s="15"/>
      <c r="AO94" s="15"/>
      <c r="AP94" s="15"/>
      <c r="AQ94" s="15"/>
    </row>
    <row r="95" spans="1:43" x14ac:dyDescent="0.25">
      <c r="A95" t="s">
        <v>155</v>
      </c>
      <c r="B95" t="s">
        <v>20</v>
      </c>
      <c r="C95" s="1">
        <v>43361</v>
      </c>
      <c r="E95" t="s">
        <v>21</v>
      </c>
      <c r="G95" s="33">
        <v>0.37641320700000003</v>
      </c>
      <c r="H95" s="33">
        <v>-10.64078078</v>
      </c>
      <c r="I95" s="33">
        <v>-10.301195529999999</v>
      </c>
      <c r="J95" s="33">
        <v>-21.227517219999999</v>
      </c>
      <c r="K95" s="33">
        <v>-20.999124429999998</v>
      </c>
      <c r="L95" s="33">
        <v>2.8539570030000001</v>
      </c>
      <c r="M95" s="33">
        <v>24.665688370000002</v>
      </c>
      <c r="N95" s="33">
        <v>-14.288776616221412</v>
      </c>
      <c r="O95" s="33">
        <v>0</v>
      </c>
      <c r="P95" s="33">
        <v>2.2199999999999999E-13</v>
      </c>
      <c r="Q95" s="37">
        <v>-0.22400587299999999</v>
      </c>
      <c r="R95" s="33">
        <v>-6.0454629000000003E-2</v>
      </c>
      <c r="S95" s="33">
        <v>-0.59924454100000002</v>
      </c>
      <c r="T95" s="9"/>
      <c r="U95" s="34"/>
      <c r="V95" s="9"/>
      <c r="W95" s="34"/>
      <c r="X95" s="9"/>
      <c r="Y95" s="34">
        <f t="shared" si="0"/>
        <v>-0.22400587299999999</v>
      </c>
      <c r="Z95" s="25">
        <v>1.1083768965774099</v>
      </c>
      <c r="AA95" s="25">
        <v>0.77229988161916396</v>
      </c>
      <c r="AB95" s="26">
        <f t="shared" si="1"/>
        <v>0.58601694728831055</v>
      </c>
      <c r="AC95" s="25"/>
      <c r="AD95" s="25"/>
      <c r="AE95" s="25"/>
      <c r="AF95" s="25"/>
      <c r="AG95" s="71">
        <f>(Y95*1.25085)+0.82749</f>
        <v>0.54729225375794988</v>
      </c>
      <c r="AH95" s="68"/>
      <c r="AI95" s="64"/>
      <c r="AJ95" s="64"/>
      <c r="AK95" s="64"/>
      <c r="AL95" s="55"/>
      <c r="AM95" s="18"/>
      <c r="AN95" s="15"/>
      <c r="AO95" s="15"/>
      <c r="AP95" s="15"/>
      <c r="AQ95" s="15"/>
    </row>
    <row r="96" spans="1:43" x14ac:dyDescent="0.25">
      <c r="C96" s="1"/>
      <c r="T96" s="9"/>
      <c r="U96" s="34"/>
      <c r="V96" s="9"/>
      <c r="W96" s="34"/>
      <c r="X96" s="9"/>
      <c r="Y96" s="34"/>
      <c r="Z96" s="25"/>
      <c r="AA96" s="25"/>
      <c r="AB96" s="26"/>
      <c r="AC96" s="25"/>
      <c r="AD96" s="25"/>
      <c r="AE96" s="25"/>
      <c r="AF96" s="25"/>
      <c r="AG96" s="71"/>
      <c r="AH96" s="68"/>
      <c r="AI96" s="64"/>
      <c r="AJ96" s="64"/>
      <c r="AK96" s="64"/>
      <c r="AL96" s="55"/>
      <c r="AM96" s="18"/>
      <c r="AN96" s="15"/>
      <c r="AO96" s="15"/>
      <c r="AP96" s="15"/>
      <c r="AQ96" s="15"/>
    </row>
    <row r="97" spans="1:43" x14ac:dyDescent="0.25">
      <c r="A97" t="s">
        <v>101</v>
      </c>
      <c r="B97" t="s">
        <v>102</v>
      </c>
      <c r="C97" s="1">
        <v>43479</v>
      </c>
      <c r="E97" t="s">
        <v>103</v>
      </c>
      <c r="G97" s="33">
        <v>-0.31252361200000001</v>
      </c>
      <c r="H97" s="33">
        <v>1.792635666</v>
      </c>
      <c r="I97" s="33">
        <v>1.344351651</v>
      </c>
      <c r="J97" s="33">
        <v>3.5145129929999999</v>
      </c>
      <c r="K97" s="33">
        <v>-17.37223097</v>
      </c>
      <c r="L97" s="33">
        <v>1.6534893690000001</v>
      </c>
      <c r="M97" s="33">
        <v>37.558355949999999</v>
      </c>
      <c r="N97" s="33">
        <v>-1.8862963379045823</v>
      </c>
      <c r="O97" s="33">
        <v>0</v>
      </c>
      <c r="P97" s="33">
        <v>2.2199999999999999E-13</v>
      </c>
      <c r="Q97" s="37">
        <v>-9.5027369E-2</v>
      </c>
      <c r="R97" s="33">
        <v>-7.3710842999999998E-2</v>
      </c>
      <c r="S97" s="33">
        <v>-20.4984368</v>
      </c>
      <c r="T97" s="9">
        <v>44.1</v>
      </c>
      <c r="U97" s="34">
        <v>0.88468478399999995</v>
      </c>
      <c r="V97" s="9">
        <v>6</v>
      </c>
      <c r="W97" s="34">
        <v>9.4620139600000002</v>
      </c>
      <c r="X97" s="9">
        <v>6</v>
      </c>
      <c r="Y97" s="34">
        <v>-0.30958550899999998</v>
      </c>
      <c r="Z97" s="25">
        <v>1.0870752770000001</v>
      </c>
      <c r="AA97" s="25">
        <v>0.92198510199999995</v>
      </c>
      <c r="AB97" s="26">
        <v>0.64744234904863895</v>
      </c>
      <c r="AC97" s="25">
        <f>AVERAGE(AB97:AB115)</f>
        <v>0.6508647196155849</v>
      </c>
      <c r="AD97" s="25">
        <f>STDEV(AB97:AB115)</f>
        <v>3.6699455914244145E-2</v>
      </c>
      <c r="AE97" s="25">
        <f>AD97/SQRT(COUNT(AB97:AB115))</f>
        <v>8.4194326112166477E-3</v>
      </c>
      <c r="AF97" s="25">
        <f>_xlfn.CONFIDENCE.T(0.05,AD97,COUNT(AB97:AB115))</f>
        <v>1.7688571539229207E-2</v>
      </c>
      <c r="AG97" s="71">
        <v>0.68592307213199999</v>
      </c>
      <c r="AH97" s="68">
        <f>AVERAGE(AG97:AG115)</f>
        <v>0.6909735674097971</v>
      </c>
      <c r="AI97" s="64">
        <f>STDEV(AG97:AG115)</f>
        <v>4.1216627059132253E-2</v>
      </c>
      <c r="AJ97" s="64">
        <f>AI97/SQRT(COUNT(AG97:AG115))</f>
        <v>9.4557427444400786E-3</v>
      </c>
      <c r="AK97" s="64">
        <f>_xlfn.CONFIDENCE.T(0.05,AI97,COUNT(AG97:AG115))</f>
        <v>1.986577833864344E-2</v>
      </c>
      <c r="AL97" s="55">
        <v>20</v>
      </c>
      <c r="AM97" s="18">
        <v>2</v>
      </c>
      <c r="AN97" s="15"/>
      <c r="AO97" s="15"/>
      <c r="AP97" s="15">
        <v>20</v>
      </c>
      <c r="AQ97" s="15">
        <v>0.15716776299999999</v>
      </c>
    </row>
    <row r="98" spans="1:43" x14ac:dyDescent="0.25">
      <c r="A98" t="s">
        <v>104</v>
      </c>
      <c r="B98" t="s">
        <v>102</v>
      </c>
      <c r="C98" s="1">
        <v>43480</v>
      </c>
      <c r="E98" t="s">
        <v>103</v>
      </c>
      <c r="G98" s="33">
        <v>-0.30868312399999998</v>
      </c>
      <c r="H98" s="33">
        <v>1.818442004</v>
      </c>
      <c r="I98" s="33">
        <v>1.370268947</v>
      </c>
      <c r="J98" s="33">
        <v>3.6126202489999999</v>
      </c>
      <c r="K98" s="33">
        <v>-8.7194469160000008</v>
      </c>
      <c r="L98" s="33">
        <v>1.65665178</v>
      </c>
      <c r="M98" s="33">
        <v>37.585103269999998</v>
      </c>
      <c r="N98" s="33">
        <v>-1.8605659677743915</v>
      </c>
      <c r="O98" s="33">
        <v>0</v>
      </c>
      <c r="P98" s="33">
        <v>2.2199999999999999E-13</v>
      </c>
      <c r="Q98" s="37">
        <v>-9.8434691000000005E-2</v>
      </c>
      <c r="R98" s="33">
        <v>-2.7473923000000001E-2</v>
      </c>
      <c r="S98" s="33">
        <v>-11.927244959999999</v>
      </c>
      <c r="T98" s="9">
        <v>41.9</v>
      </c>
      <c r="U98" s="34">
        <v>0.97517775100000004</v>
      </c>
      <c r="V98" s="9">
        <v>5</v>
      </c>
      <c r="W98" s="34">
        <v>10.66702182</v>
      </c>
      <c r="X98" s="9">
        <v>6</v>
      </c>
      <c r="Y98" s="34">
        <v>-0.35301755099999998</v>
      </c>
      <c r="Z98" s="25">
        <v>1.0870752770000001</v>
      </c>
      <c r="AA98" s="25">
        <v>0.92198510199999995</v>
      </c>
      <c r="AB98" s="26">
        <v>0.60022844996081304</v>
      </c>
      <c r="AC98" s="25"/>
      <c r="AD98" s="25"/>
      <c r="AE98" s="25"/>
      <c r="AF98" s="25"/>
      <c r="AG98" s="71">
        <v>0.63371138763500001</v>
      </c>
      <c r="AH98" s="68"/>
      <c r="AI98" s="64"/>
      <c r="AJ98" s="64"/>
      <c r="AK98" s="64"/>
      <c r="AL98" s="55"/>
      <c r="AM98" s="18"/>
      <c r="AN98" s="15"/>
      <c r="AO98" s="15"/>
      <c r="AP98" s="15"/>
      <c r="AQ98" s="15"/>
    </row>
    <row r="99" spans="1:43" x14ac:dyDescent="0.25">
      <c r="A99" t="s">
        <v>105</v>
      </c>
      <c r="B99" t="s">
        <v>102</v>
      </c>
      <c r="C99" s="1">
        <v>43481</v>
      </c>
      <c r="E99" t="s">
        <v>103</v>
      </c>
      <c r="G99" s="33">
        <v>-0.30689189300000003</v>
      </c>
      <c r="H99" s="33">
        <v>1.857182355</v>
      </c>
      <c r="I99" s="33">
        <v>1.410196572</v>
      </c>
      <c r="J99" s="33">
        <v>3.6584771119999999</v>
      </c>
      <c r="K99" s="33">
        <v>-11.50642674</v>
      </c>
      <c r="L99" s="33">
        <v>1.6571379690000001</v>
      </c>
      <c r="M99" s="33">
        <v>37.625265519999999</v>
      </c>
      <c r="N99" s="33">
        <v>-1.8219307116904702</v>
      </c>
      <c r="O99" s="33">
        <v>0</v>
      </c>
      <c r="P99" s="33">
        <v>0</v>
      </c>
      <c r="Q99" s="37">
        <v>-9.8429923000000002E-2</v>
      </c>
      <c r="R99" s="33">
        <v>-5.9120366000000001E-2</v>
      </c>
      <c r="S99" s="33">
        <v>-14.78195631</v>
      </c>
      <c r="T99" s="9">
        <v>46.2</v>
      </c>
      <c r="U99" s="34">
        <v>0.90784178400000004</v>
      </c>
      <c r="V99" s="9">
        <v>3</v>
      </c>
      <c r="W99" s="34">
        <v>10.05935275</v>
      </c>
      <c r="X99" s="9">
        <v>6</v>
      </c>
      <c r="Y99" s="34">
        <v>-0.31616483099999998</v>
      </c>
      <c r="Z99" s="25">
        <v>1.0870752770000001</v>
      </c>
      <c r="AA99" s="25">
        <v>0.92198510199999995</v>
      </c>
      <c r="AB99" s="26">
        <v>0.640290130763017</v>
      </c>
      <c r="AC99" s="25"/>
      <c r="AD99" s="25"/>
      <c r="AE99" s="25"/>
      <c r="AF99" s="25"/>
      <c r="AG99" s="71">
        <v>0.67798304637899998</v>
      </c>
      <c r="AH99" s="68"/>
      <c r="AI99" s="64"/>
      <c r="AJ99" s="64"/>
      <c r="AK99" s="64"/>
      <c r="AL99" s="55"/>
      <c r="AM99" s="18"/>
      <c r="AN99" s="15"/>
      <c r="AO99" s="15"/>
      <c r="AP99" s="15"/>
      <c r="AQ99" s="15"/>
    </row>
    <row r="100" spans="1:43" x14ac:dyDescent="0.25">
      <c r="A100" t="s">
        <v>106</v>
      </c>
      <c r="B100" t="s">
        <v>102</v>
      </c>
      <c r="C100" s="1">
        <v>43482</v>
      </c>
      <c r="E100" t="s">
        <v>103</v>
      </c>
      <c r="G100" s="33">
        <v>-0.32641289299999998</v>
      </c>
      <c r="H100" s="33">
        <v>1.780103225</v>
      </c>
      <c r="I100" s="33">
        <v>1.290802617</v>
      </c>
      <c r="J100" s="33">
        <v>3.3795261249999999</v>
      </c>
      <c r="K100" s="33">
        <v>-2.188524089</v>
      </c>
      <c r="L100" s="33">
        <v>1.6390606130000001</v>
      </c>
      <c r="M100" s="33">
        <v>37.545394709999997</v>
      </c>
      <c r="N100" s="33">
        <v>-1.8987647834364907</v>
      </c>
      <c r="O100" s="33">
        <v>0</v>
      </c>
      <c r="P100" s="33">
        <v>0</v>
      </c>
      <c r="Q100" s="37">
        <v>-0.12187013100000001</v>
      </c>
      <c r="R100" s="33">
        <v>-0.18319988100000001</v>
      </c>
      <c r="S100" s="33">
        <v>-5.3238576650000002</v>
      </c>
      <c r="T100" s="9">
        <v>43.4</v>
      </c>
      <c r="U100" s="34">
        <v>0.89903495099999997</v>
      </c>
      <c r="V100" s="9">
        <v>6</v>
      </c>
      <c r="W100" s="34">
        <v>9.4058850379999992</v>
      </c>
      <c r="X100" s="9">
        <v>6</v>
      </c>
      <c r="Y100" s="34">
        <v>-0.33859559299999997</v>
      </c>
      <c r="Z100" s="25">
        <v>1.0870752770000001</v>
      </c>
      <c r="AA100" s="25">
        <v>0.92198510199999995</v>
      </c>
      <c r="AB100" s="26">
        <v>0.615906203948546</v>
      </c>
      <c r="AC100" s="25"/>
      <c r="AD100" s="25"/>
      <c r="AE100" s="25"/>
      <c r="AF100" s="25"/>
      <c r="AG100" s="71">
        <v>0.65103508018699996</v>
      </c>
      <c r="AH100" s="68"/>
      <c r="AI100" s="64"/>
      <c r="AJ100" s="64"/>
      <c r="AK100" s="64"/>
      <c r="AL100" s="55"/>
      <c r="AM100" s="18"/>
      <c r="AN100" s="15"/>
      <c r="AO100" s="15"/>
      <c r="AP100" s="15"/>
      <c r="AQ100" s="15"/>
    </row>
    <row r="101" spans="1:43" x14ac:dyDescent="0.25">
      <c r="A101" t="s">
        <v>107</v>
      </c>
      <c r="B101" t="s">
        <v>102</v>
      </c>
      <c r="C101" s="1">
        <v>43483</v>
      </c>
      <c r="E101" t="s">
        <v>103</v>
      </c>
      <c r="G101" s="33">
        <v>-0.32549764399999997</v>
      </c>
      <c r="H101" s="33">
        <v>1.772516548</v>
      </c>
      <c r="I101" s="33">
        <v>1.2888559100000001</v>
      </c>
      <c r="J101" s="33">
        <v>3.5163036139999999</v>
      </c>
      <c r="K101" s="33">
        <v>-2.1231989769999999</v>
      </c>
      <c r="L101" s="33">
        <v>1.6403229159999999</v>
      </c>
      <c r="M101" s="33">
        <v>37.53752661</v>
      </c>
      <c r="N101" s="33">
        <v>-1.9063337333432173</v>
      </c>
      <c r="O101" s="33">
        <v>0</v>
      </c>
      <c r="P101" s="33">
        <v>0</v>
      </c>
      <c r="Q101" s="37">
        <v>-0.11731351800000001</v>
      </c>
      <c r="R101" s="33">
        <v>-3.1762186999999997E-2</v>
      </c>
      <c r="S101" s="33">
        <v>-5.2449042759999998</v>
      </c>
      <c r="T101" s="9">
        <v>44.3</v>
      </c>
      <c r="U101" s="34">
        <v>0.86541668100000002</v>
      </c>
      <c r="V101" s="9">
        <v>7</v>
      </c>
      <c r="W101" s="34">
        <v>9.3655401850000004</v>
      </c>
      <c r="X101" s="9">
        <v>6</v>
      </c>
      <c r="Y101" s="34">
        <v>-0.32872526000000002</v>
      </c>
      <c r="Z101" s="25">
        <v>1.0870752770000001</v>
      </c>
      <c r="AA101" s="25">
        <v>0.92198510199999995</v>
      </c>
      <c r="AB101" s="26">
        <v>0.626635998928603</v>
      </c>
      <c r="AC101" s="25"/>
      <c r="AD101" s="25"/>
      <c r="AE101" s="25"/>
      <c r="AF101" s="25"/>
      <c r="AG101" s="71">
        <v>0.66294511881649998</v>
      </c>
      <c r="AH101" s="68"/>
      <c r="AI101" s="64"/>
      <c r="AJ101" s="64"/>
      <c r="AK101" s="64"/>
      <c r="AL101" s="55"/>
      <c r="AM101" s="18"/>
      <c r="AN101" s="15"/>
      <c r="AO101" s="15"/>
      <c r="AP101" s="15"/>
      <c r="AQ101" s="15"/>
    </row>
    <row r="102" spans="1:43" x14ac:dyDescent="0.25">
      <c r="A102" t="s">
        <v>108</v>
      </c>
      <c r="B102" t="s">
        <v>102</v>
      </c>
      <c r="C102" s="1">
        <v>43487</v>
      </c>
      <c r="E102" t="s">
        <v>103</v>
      </c>
      <c r="G102" s="33">
        <v>-0.33268031399999998</v>
      </c>
      <c r="H102" s="33">
        <v>1.775246439</v>
      </c>
      <c r="I102" s="33">
        <v>1.29578835</v>
      </c>
      <c r="J102" s="33">
        <v>3.4854592289999999</v>
      </c>
      <c r="K102" s="33">
        <v>17.59366133</v>
      </c>
      <c r="L102" s="33">
        <v>1.6325201979999999</v>
      </c>
      <c r="M102" s="33">
        <v>37.540373819999999</v>
      </c>
      <c r="N102" s="33">
        <v>-1.9035947760519321</v>
      </c>
      <c r="O102" s="33">
        <v>0</v>
      </c>
      <c r="P102" s="33">
        <v>4.4399999999999998E-13</v>
      </c>
      <c r="Q102" s="37">
        <v>-0.10565825</v>
      </c>
      <c r="R102" s="33">
        <v>-6.7947342999999993E-2</v>
      </c>
      <c r="S102" s="33">
        <v>14.412609590000001</v>
      </c>
      <c r="T102" s="9">
        <v>42.8</v>
      </c>
      <c r="U102" s="34">
        <v>0.97989193399999996</v>
      </c>
      <c r="V102" s="9">
        <v>11</v>
      </c>
      <c r="W102" s="34">
        <v>10.258126730000001</v>
      </c>
      <c r="X102" s="9">
        <v>6</v>
      </c>
      <c r="Y102" s="34">
        <v>-0.34533410799999997</v>
      </c>
      <c r="Z102" s="25">
        <v>1.0870752770000001</v>
      </c>
      <c r="AA102" s="25">
        <v>0.92198510199999995</v>
      </c>
      <c r="AB102" s="26">
        <v>0.60858093088835197</v>
      </c>
      <c r="AC102" s="25"/>
      <c r="AD102" s="25"/>
      <c r="AE102" s="25"/>
      <c r="AF102" s="25"/>
      <c r="AG102" s="71">
        <v>0.64297475101349999</v>
      </c>
      <c r="AH102" s="68"/>
      <c r="AI102" s="64"/>
      <c r="AJ102" s="64"/>
      <c r="AK102" s="64"/>
      <c r="AL102" s="55"/>
      <c r="AM102" s="18"/>
      <c r="AN102" s="15"/>
      <c r="AO102" s="15"/>
      <c r="AP102" s="15"/>
      <c r="AQ102" s="15"/>
    </row>
    <row r="103" spans="1:43" x14ac:dyDescent="0.25">
      <c r="A103" t="s">
        <v>109</v>
      </c>
      <c r="B103" t="s">
        <v>102</v>
      </c>
      <c r="C103" s="1">
        <v>43489</v>
      </c>
      <c r="E103" t="s">
        <v>103</v>
      </c>
      <c r="G103" s="33">
        <v>-0.31090491399999998</v>
      </c>
      <c r="H103" s="33">
        <v>1.783158866</v>
      </c>
      <c r="I103" s="33">
        <v>1.3481712429999999</v>
      </c>
      <c r="J103" s="33">
        <v>3.5063248859999998</v>
      </c>
      <c r="K103" s="33">
        <v>1.809582537</v>
      </c>
      <c r="L103" s="33">
        <v>1.6555759329999999</v>
      </c>
      <c r="M103" s="33">
        <v>37.548526500000001</v>
      </c>
      <c r="N103" s="33">
        <v>-1.8957520660550244</v>
      </c>
      <c r="O103" s="33">
        <v>0</v>
      </c>
      <c r="P103" s="33">
        <v>0</v>
      </c>
      <c r="Q103" s="37">
        <v>-8.3583554000000004E-2</v>
      </c>
      <c r="R103" s="33">
        <v>-6.2951251E-2</v>
      </c>
      <c r="S103" s="33">
        <v>-1.3608086079999999</v>
      </c>
      <c r="T103" s="9">
        <v>44.3</v>
      </c>
      <c r="U103" s="34">
        <v>0.97989193399999996</v>
      </c>
      <c r="V103" s="9">
        <v>12</v>
      </c>
      <c r="W103" s="34">
        <v>10.258126730000001</v>
      </c>
      <c r="X103" s="9">
        <v>6</v>
      </c>
      <c r="Y103" s="34">
        <v>-0.31514397700000002</v>
      </c>
      <c r="Z103" s="25">
        <v>1.0870752770000001</v>
      </c>
      <c r="AA103" s="25">
        <v>0.92198510199999995</v>
      </c>
      <c r="AB103" s="26">
        <v>0.64139987590784298</v>
      </c>
      <c r="AC103" s="25"/>
      <c r="AD103" s="25"/>
      <c r="AE103" s="25"/>
      <c r="AF103" s="25"/>
      <c r="AG103" s="71">
        <v>0.67930638400450005</v>
      </c>
      <c r="AH103" s="68"/>
      <c r="AI103" s="64"/>
      <c r="AJ103" s="64"/>
      <c r="AK103" s="64"/>
      <c r="AL103" s="55"/>
      <c r="AM103" s="18"/>
      <c r="AN103" s="15"/>
      <c r="AO103" s="15"/>
      <c r="AP103" s="15"/>
      <c r="AQ103" s="15"/>
    </row>
    <row r="104" spans="1:43" x14ac:dyDescent="0.25">
      <c r="A104" t="s">
        <v>110</v>
      </c>
      <c r="B104" t="s">
        <v>102</v>
      </c>
      <c r="C104" s="1">
        <v>43494</v>
      </c>
      <c r="E104" t="s">
        <v>103</v>
      </c>
      <c r="G104" s="33">
        <v>-0.31678800800000001</v>
      </c>
      <c r="H104" s="33">
        <v>1.720876633</v>
      </c>
      <c r="I104" s="33">
        <v>1.2612757109999999</v>
      </c>
      <c r="J104" s="33">
        <v>3.3214451469999999</v>
      </c>
      <c r="K104" s="33">
        <v>8.9247012540000004</v>
      </c>
      <c r="L104" s="33">
        <v>1.651574028</v>
      </c>
      <c r="M104" s="33">
        <v>37.483965349999998</v>
      </c>
      <c r="N104" s="33">
        <v>-1.9578585606692513</v>
      </c>
      <c r="O104" s="33">
        <v>0</v>
      </c>
      <c r="P104" s="33">
        <v>2.2199999999999999E-13</v>
      </c>
      <c r="Q104" s="37">
        <v>-0.103165197</v>
      </c>
      <c r="R104" s="33">
        <v>-0.122849842</v>
      </c>
      <c r="S104" s="33">
        <v>5.8609862770000003</v>
      </c>
      <c r="T104" s="9">
        <v>44.8</v>
      </c>
      <c r="U104" s="34">
        <v>0.94765312899999998</v>
      </c>
      <c r="V104" s="9">
        <v>22</v>
      </c>
      <c r="W104" s="34">
        <v>9.3977810809999998</v>
      </c>
      <c r="X104" s="9">
        <v>6</v>
      </c>
      <c r="Y104" s="34">
        <v>-0.31293709600000003</v>
      </c>
      <c r="Z104" s="25">
        <v>1.0870752770000001</v>
      </c>
      <c r="AA104" s="25">
        <v>0.92198510199999995</v>
      </c>
      <c r="AB104" s="26">
        <v>0.64379892168222397</v>
      </c>
      <c r="AC104" s="25"/>
      <c r="AD104" s="25"/>
      <c r="AE104" s="25"/>
      <c r="AF104" s="25"/>
      <c r="AG104" s="71">
        <v>0.68195305925549998</v>
      </c>
      <c r="AH104" s="68"/>
      <c r="AI104" s="64"/>
      <c r="AJ104" s="64"/>
      <c r="AK104" s="64"/>
      <c r="AL104" s="55"/>
      <c r="AM104" s="18"/>
      <c r="AN104" s="15"/>
      <c r="AO104" s="15"/>
      <c r="AP104" s="15"/>
      <c r="AQ104" s="15"/>
    </row>
    <row r="105" spans="1:43" x14ac:dyDescent="0.25">
      <c r="A105" t="s">
        <v>129</v>
      </c>
      <c r="B105" t="s">
        <v>102</v>
      </c>
      <c r="C105" s="1">
        <v>43529</v>
      </c>
      <c r="E105" t="s">
        <v>103</v>
      </c>
      <c r="G105" s="33">
        <v>-0.333078824</v>
      </c>
      <c r="H105" s="33">
        <v>1.74948511</v>
      </c>
      <c r="I105" s="33">
        <v>1.275786785</v>
      </c>
      <c r="J105" s="33">
        <v>3.3830250629999998</v>
      </c>
      <c r="K105" s="33">
        <v>13.44506252</v>
      </c>
      <c r="L105" s="33">
        <v>1.6151272510000001</v>
      </c>
      <c r="M105" s="33">
        <v>37.513665070000002</v>
      </c>
      <c r="N105" s="33">
        <v>-1.9292880426376087</v>
      </c>
      <c r="O105" s="33">
        <v>0</v>
      </c>
      <c r="P105" s="33">
        <v>2.89E-12</v>
      </c>
      <c r="Q105" s="37">
        <v>-9.9939151000000004E-2</v>
      </c>
      <c r="R105" s="33">
        <v>-0.118594185</v>
      </c>
      <c r="S105" s="33">
        <v>10.328465810000001</v>
      </c>
      <c r="T105" s="9">
        <v>43.2</v>
      </c>
      <c r="U105" s="34">
        <v>0.98488563299999998</v>
      </c>
      <c r="V105" s="9">
        <v>86</v>
      </c>
      <c r="W105" s="34">
        <v>9.2890589840000004</v>
      </c>
      <c r="X105" s="9">
        <v>6</v>
      </c>
      <c r="Y105" s="34">
        <v>-0.314963665</v>
      </c>
      <c r="Z105" s="25">
        <v>1.0882909510000001</v>
      </c>
      <c r="AA105" s="25">
        <v>0.93278054200000005</v>
      </c>
      <c r="AB105" s="26">
        <v>0.65200843548670495</v>
      </c>
      <c r="AC105" s="25"/>
      <c r="AD105" s="25"/>
      <c r="AE105" s="25"/>
      <c r="AF105" s="25"/>
      <c r="AG105" s="71">
        <v>0.69307751533499995</v>
      </c>
      <c r="AH105" s="68"/>
      <c r="AI105" s="64"/>
      <c r="AJ105" s="64"/>
      <c r="AK105" s="64"/>
      <c r="AL105" s="55"/>
      <c r="AM105" s="18"/>
      <c r="AN105" s="15"/>
      <c r="AO105" s="15"/>
      <c r="AP105" s="15"/>
      <c r="AQ105" s="15"/>
    </row>
    <row r="106" spans="1:43" x14ac:dyDescent="0.25">
      <c r="A106" t="s">
        <v>130</v>
      </c>
      <c r="B106" t="s">
        <v>102</v>
      </c>
      <c r="C106" s="1">
        <v>43530</v>
      </c>
      <c r="E106" t="s">
        <v>103</v>
      </c>
      <c r="G106" s="33">
        <v>-0.31790102999999997</v>
      </c>
      <c r="H106" s="33">
        <v>1.754439495</v>
      </c>
      <c r="I106" s="33">
        <v>1.3394028149999999</v>
      </c>
      <c r="J106" s="33">
        <v>3.5085986039999999</v>
      </c>
      <c r="K106" s="33">
        <v>25.173451050000001</v>
      </c>
      <c r="L106" s="33">
        <v>1.6491377760000001</v>
      </c>
      <c r="M106" s="33">
        <v>37.518766319999997</v>
      </c>
      <c r="N106" s="33">
        <v>-1.9243807453598265</v>
      </c>
      <c r="O106" s="33">
        <v>0</v>
      </c>
      <c r="P106" s="33">
        <v>0</v>
      </c>
      <c r="Q106" s="37">
        <v>-5.6935869E-2</v>
      </c>
      <c r="R106" s="33">
        <v>-3.3501889999999999E-3</v>
      </c>
      <c r="S106" s="33">
        <v>21.994316850000001</v>
      </c>
      <c r="T106" s="9">
        <v>42.6</v>
      </c>
      <c r="U106" s="34">
        <v>0.98488563299999998</v>
      </c>
      <c r="V106" s="9">
        <v>88</v>
      </c>
      <c r="W106" s="34">
        <v>9.2890589840000004</v>
      </c>
      <c r="X106" s="9">
        <v>6</v>
      </c>
      <c r="Y106" s="34">
        <v>-0.27498889700000001</v>
      </c>
      <c r="Z106" s="25">
        <v>1.0882909510000001</v>
      </c>
      <c r="AA106" s="25">
        <v>0.93278054200000005</v>
      </c>
      <c r="AB106" s="26">
        <v>0.69551261376942897</v>
      </c>
      <c r="AC106" s="25"/>
      <c r="AD106" s="25"/>
      <c r="AE106" s="25"/>
      <c r="AF106" s="25"/>
      <c r="AG106" s="71">
        <v>0.74125619097499995</v>
      </c>
      <c r="AH106" s="68"/>
      <c r="AI106" s="64"/>
      <c r="AJ106" s="64"/>
      <c r="AK106" s="64"/>
      <c r="AL106" s="55"/>
      <c r="AM106" s="18"/>
      <c r="AN106" s="15"/>
      <c r="AO106" s="15"/>
      <c r="AP106" s="15"/>
      <c r="AQ106" s="15"/>
    </row>
    <row r="107" spans="1:43" x14ac:dyDescent="0.25">
      <c r="A107" t="s">
        <v>131</v>
      </c>
      <c r="B107" t="s">
        <v>102</v>
      </c>
      <c r="C107" s="1">
        <v>43536</v>
      </c>
      <c r="E107" t="s">
        <v>103</v>
      </c>
      <c r="G107" s="33">
        <v>-0.307892999</v>
      </c>
      <c r="H107" s="33">
        <v>1.7342756020000001</v>
      </c>
      <c r="I107" s="33">
        <v>1.265979016</v>
      </c>
      <c r="J107" s="33">
        <v>3.4474871490000001</v>
      </c>
      <c r="K107" s="33">
        <v>6.6326665419999999</v>
      </c>
      <c r="L107" s="33">
        <v>1.6426955560000001</v>
      </c>
      <c r="M107" s="33">
        <v>37.497836669999998</v>
      </c>
      <c r="N107" s="33">
        <v>-1.9445146369494068</v>
      </c>
      <c r="O107" s="33">
        <v>0</v>
      </c>
      <c r="P107" s="33">
        <v>3.3300000000000001E-12</v>
      </c>
      <c r="Q107" s="37">
        <v>-0.120795244</v>
      </c>
      <c r="R107" s="33">
        <v>-2.3991888999999999E-2</v>
      </c>
      <c r="S107" s="33">
        <v>3.540019145</v>
      </c>
      <c r="T107" s="9">
        <v>44.8</v>
      </c>
      <c r="U107" s="34">
        <v>0.98488563299999998</v>
      </c>
      <c r="V107" s="9">
        <v>100</v>
      </c>
      <c r="W107" s="34">
        <v>9.2890589840000004</v>
      </c>
      <c r="X107" s="12">
        <v>6</v>
      </c>
      <c r="Y107" s="34">
        <v>-0.32814031100000002</v>
      </c>
      <c r="Z107" s="25">
        <v>1.0882909510000001</v>
      </c>
      <c r="AA107" s="25">
        <v>0.93278054200000005</v>
      </c>
      <c r="AB107" s="26">
        <v>0.63766841088037396</v>
      </c>
      <c r="AC107" s="25"/>
      <c r="AD107" s="25"/>
      <c r="AE107" s="25"/>
      <c r="AF107" s="25"/>
      <c r="AG107" s="71">
        <v>0.67729899906290003</v>
      </c>
      <c r="AH107" s="68"/>
      <c r="AI107" s="64"/>
      <c r="AJ107" s="64"/>
      <c r="AK107" s="64"/>
      <c r="AL107" s="55"/>
      <c r="AM107" s="18"/>
      <c r="AN107" s="15"/>
      <c r="AO107" s="15"/>
      <c r="AP107" s="15"/>
      <c r="AQ107" s="15"/>
    </row>
    <row r="108" spans="1:43" x14ac:dyDescent="0.25">
      <c r="A108" t="s">
        <v>132</v>
      </c>
      <c r="B108" t="s">
        <v>102</v>
      </c>
      <c r="C108" s="1">
        <v>43536</v>
      </c>
      <c r="E108" t="s">
        <v>103</v>
      </c>
      <c r="G108" s="33">
        <v>-0.317656781</v>
      </c>
      <c r="H108" s="33">
        <v>1.734381628</v>
      </c>
      <c r="I108" s="33">
        <v>1.289953278</v>
      </c>
      <c r="J108" s="33">
        <v>3.4429097299999998</v>
      </c>
      <c r="K108" s="33">
        <v>20.558613380000001</v>
      </c>
      <c r="L108" s="33">
        <v>1.6322225669999999</v>
      </c>
      <c r="M108" s="33">
        <v>37.497969470000001</v>
      </c>
      <c r="N108" s="33">
        <v>-1.9443868860886369</v>
      </c>
      <c r="O108" s="33">
        <v>0</v>
      </c>
      <c r="P108" s="33">
        <v>-3.6199999999999999E-10</v>
      </c>
      <c r="Q108" s="37">
        <v>-8.68834E-2</v>
      </c>
      <c r="R108" s="33">
        <v>-2.8765241E-2</v>
      </c>
      <c r="S108" s="33">
        <v>17.433559339999999</v>
      </c>
      <c r="T108" s="9">
        <v>45</v>
      </c>
      <c r="U108" s="34">
        <v>0.98488563299999998</v>
      </c>
      <c r="V108" s="9">
        <v>100</v>
      </c>
      <c r="W108" s="34">
        <v>9.2890589840000004</v>
      </c>
      <c r="X108" s="12">
        <v>6</v>
      </c>
      <c r="Y108" s="34">
        <v>-0.29330693299999999</v>
      </c>
      <c r="Z108" s="25">
        <v>1.0882909510000001</v>
      </c>
      <c r="AA108" s="25">
        <v>0.93278054200000005</v>
      </c>
      <c r="AB108" s="26">
        <v>0.67557726095053705</v>
      </c>
      <c r="AC108" s="25"/>
      <c r="AD108" s="25"/>
      <c r="AE108" s="25"/>
      <c r="AF108" s="25"/>
      <c r="AG108" s="71">
        <v>0.71921444686970004</v>
      </c>
      <c r="AH108" s="68"/>
      <c r="AI108" s="64"/>
      <c r="AJ108" s="64"/>
      <c r="AK108" s="64"/>
      <c r="AL108" s="55"/>
      <c r="AM108" s="18"/>
      <c r="AN108" s="15"/>
      <c r="AO108" s="15"/>
      <c r="AP108" s="15"/>
      <c r="AQ108" s="15"/>
    </row>
    <row r="109" spans="1:43" x14ac:dyDescent="0.25">
      <c r="A109" t="s">
        <v>133</v>
      </c>
      <c r="B109" t="s">
        <v>102</v>
      </c>
      <c r="C109" s="1">
        <v>43537</v>
      </c>
      <c r="E109" t="s">
        <v>103</v>
      </c>
      <c r="G109" s="33">
        <v>-0.329669078</v>
      </c>
      <c r="H109" s="33">
        <v>1.701789333</v>
      </c>
      <c r="I109" s="33">
        <v>1.2225748240000001</v>
      </c>
      <c r="J109" s="33">
        <v>3.3505923169999998</v>
      </c>
      <c r="K109" s="33">
        <v>5.3707424110000002</v>
      </c>
      <c r="L109" s="33">
        <v>1.6205494519999999</v>
      </c>
      <c r="M109" s="33">
        <v>37.464205540000002</v>
      </c>
      <c r="N109" s="33">
        <v>-1.9768670903089287</v>
      </c>
      <c r="O109" s="33">
        <v>0</v>
      </c>
      <c r="P109" s="33">
        <v>1.1099999999999999E-12</v>
      </c>
      <c r="Q109" s="37">
        <v>-0.10978956600000001</v>
      </c>
      <c r="R109" s="33">
        <v>-5.5696310999999998E-2</v>
      </c>
      <c r="S109" s="33">
        <v>2.3691164759999999</v>
      </c>
      <c r="T109" s="9">
        <v>44.2</v>
      </c>
      <c r="U109" s="34">
        <v>0.98488563299999998</v>
      </c>
      <c r="V109" s="9">
        <v>100</v>
      </c>
      <c r="W109" s="34">
        <v>9.2890589840000004</v>
      </c>
      <c r="X109" s="12">
        <v>6</v>
      </c>
      <c r="Y109" s="34">
        <v>-0.31994927200000001</v>
      </c>
      <c r="Z109" s="25">
        <v>1.0882909510000001</v>
      </c>
      <c r="AA109" s="25">
        <v>0.93278054200000005</v>
      </c>
      <c r="AB109" s="26">
        <v>0.646582644503362</v>
      </c>
      <c r="AC109" s="25"/>
      <c r="AD109" s="25"/>
      <c r="AE109" s="25"/>
      <c r="AF109" s="25"/>
      <c r="AG109" s="71">
        <v>0.6871756275691</v>
      </c>
      <c r="AH109" s="68"/>
      <c r="AI109" s="64"/>
      <c r="AJ109" s="64"/>
      <c r="AK109" s="64"/>
      <c r="AL109" s="55"/>
      <c r="AM109" s="18"/>
      <c r="AN109" s="15"/>
      <c r="AO109" s="15"/>
      <c r="AP109" s="15"/>
      <c r="AQ109" s="15"/>
    </row>
    <row r="110" spans="1:43" x14ac:dyDescent="0.25">
      <c r="A110" t="s">
        <v>134</v>
      </c>
      <c r="B110" t="s">
        <v>102</v>
      </c>
      <c r="C110" s="1">
        <v>43538</v>
      </c>
      <c r="E110" t="s">
        <v>103</v>
      </c>
      <c r="G110" s="33">
        <v>-0.34719017400000002</v>
      </c>
      <c r="H110" s="33">
        <v>1.620804753</v>
      </c>
      <c r="I110" s="33">
        <v>1.2198119460000001</v>
      </c>
      <c r="J110" s="33">
        <v>3.2823389349999998</v>
      </c>
      <c r="K110" s="33">
        <v>14.14871847</v>
      </c>
      <c r="L110" s="33">
        <v>1.604761645</v>
      </c>
      <c r="M110" s="33">
        <v>37.380280839999998</v>
      </c>
      <c r="N110" s="33">
        <v>-2.0576009206163235</v>
      </c>
      <c r="O110" s="33">
        <v>0</v>
      </c>
      <c r="P110" s="33">
        <v>2.89E-12</v>
      </c>
      <c r="Q110" s="37">
        <v>-1.4982947E-2</v>
      </c>
      <c r="R110" s="33">
        <v>3.7975476000000001E-2</v>
      </c>
      <c r="S110" s="33">
        <v>11.300432689999999</v>
      </c>
      <c r="T110" s="9">
        <v>45.3</v>
      </c>
      <c r="U110" s="34">
        <v>0.98488563299999998</v>
      </c>
      <c r="V110" s="9">
        <v>100</v>
      </c>
      <c r="W110" s="34">
        <v>9.2890589840000004</v>
      </c>
      <c r="X110" s="12">
        <v>6</v>
      </c>
      <c r="Y110" s="34">
        <v>-0.220039437</v>
      </c>
      <c r="Z110" s="25">
        <v>1.0882909510000001</v>
      </c>
      <c r="AA110" s="25">
        <v>0.93278054200000005</v>
      </c>
      <c r="AB110" s="26">
        <v>0.75531361384976503</v>
      </c>
      <c r="AC110" s="25"/>
      <c r="AD110" s="25"/>
      <c r="AE110" s="25"/>
      <c r="AF110" s="25"/>
      <c r="AG110" s="71">
        <v>0.80750186997999995</v>
      </c>
      <c r="AH110" s="68"/>
      <c r="AI110" s="64"/>
      <c r="AJ110" s="64"/>
      <c r="AK110" s="64"/>
      <c r="AL110" s="55"/>
      <c r="AM110" s="18"/>
      <c r="AN110" s="15"/>
      <c r="AO110" s="15"/>
      <c r="AP110" s="15"/>
      <c r="AQ110" s="15"/>
    </row>
    <row r="111" spans="1:43" x14ac:dyDescent="0.25">
      <c r="A111" t="s">
        <v>135</v>
      </c>
      <c r="B111" t="s">
        <v>102</v>
      </c>
      <c r="C111" s="1">
        <v>43539</v>
      </c>
      <c r="E111" t="s">
        <v>103</v>
      </c>
      <c r="G111" s="33">
        <v>-0.29144704599999999</v>
      </c>
      <c r="H111" s="33">
        <v>1.7414334979999999</v>
      </c>
      <c r="I111" s="33">
        <v>1.3093440599999999</v>
      </c>
      <c r="J111" s="33">
        <v>3.4592822270000001</v>
      </c>
      <c r="K111" s="33">
        <v>5.6336983350000001</v>
      </c>
      <c r="L111" s="33">
        <v>1.677984723</v>
      </c>
      <c r="M111" s="33">
        <v>37.505219580000002</v>
      </c>
      <c r="N111" s="33">
        <v>-1.937412429814799</v>
      </c>
      <c r="O111" s="33">
        <v>0</v>
      </c>
      <c r="P111" s="33">
        <v>3.9999999999999999E-12</v>
      </c>
      <c r="Q111" s="37">
        <v>-0.101485401</v>
      </c>
      <c r="R111" s="33">
        <v>-2.6528144E-2</v>
      </c>
      <c r="S111" s="33">
        <v>2.5124663809999999</v>
      </c>
      <c r="T111" s="9">
        <v>45.3</v>
      </c>
      <c r="U111" s="34">
        <v>0.98488563299999998</v>
      </c>
      <c r="V111" s="9">
        <v>100</v>
      </c>
      <c r="W111" s="34">
        <v>9.2890589840000004</v>
      </c>
      <c r="X111" s="12">
        <v>6</v>
      </c>
      <c r="Y111" s="34">
        <v>-0.30654189100000001</v>
      </c>
      <c r="Z111" s="25">
        <v>1.0882909510000001</v>
      </c>
      <c r="AA111" s="25">
        <v>0.93278054200000005</v>
      </c>
      <c r="AB111" s="26">
        <v>0.661173775922272</v>
      </c>
      <c r="AC111" s="25"/>
      <c r="AD111" s="25"/>
      <c r="AE111" s="25"/>
      <c r="AF111" s="25"/>
      <c r="AG111" s="71">
        <v>0.70331548390849996</v>
      </c>
      <c r="AH111" s="68"/>
      <c r="AI111" s="64"/>
      <c r="AJ111" s="64"/>
      <c r="AK111" s="64"/>
      <c r="AL111" s="55"/>
      <c r="AM111" s="18"/>
      <c r="AN111" s="15"/>
      <c r="AO111" s="15"/>
      <c r="AP111" s="15"/>
      <c r="AQ111" s="15"/>
    </row>
    <row r="112" spans="1:43" x14ac:dyDescent="0.25">
      <c r="A112" t="s">
        <v>136</v>
      </c>
      <c r="B112" t="s">
        <v>102</v>
      </c>
      <c r="C112" s="1">
        <v>43542</v>
      </c>
      <c r="E112" t="s">
        <v>103</v>
      </c>
      <c r="G112" s="33">
        <v>-0.32276887599999998</v>
      </c>
      <c r="H112" s="33">
        <v>1.6967447659999999</v>
      </c>
      <c r="I112" s="33">
        <v>1.2235002070000001</v>
      </c>
      <c r="J112" s="33">
        <v>3.336050782</v>
      </c>
      <c r="K112" s="33">
        <v>4.5927087850000001</v>
      </c>
      <c r="L112" s="33">
        <v>1.6460546279999999</v>
      </c>
      <c r="M112" s="33">
        <v>37.458959159999999</v>
      </c>
      <c r="N112" s="33">
        <v>-1.9819139996533295</v>
      </c>
      <c r="O112" s="33">
        <v>0</v>
      </c>
      <c r="P112" s="33">
        <v>1.33E-12</v>
      </c>
      <c r="Q112" s="37">
        <v>-0.111035389</v>
      </c>
      <c r="R112" s="33">
        <v>-6.0117051999999997E-2</v>
      </c>
      <c r="S112" s="33">
        <v>1.5959490190000001</v>
      </c>
      <c r="T112" s="9">
        <v>43.8</v>
      </c>
      <c r="U112" s="34">
        <v>0.98488563299999998</v>
      </c>
      <c r="V112" s="9">
        <v>100</v>
      </c>
      <c r="W112" s="34">
        <v>9.2890589840000004</v>
      </c>
      <c r="X112" s="12">
        <v>6</v>
      </c>
      <c r="Y112" s="34">
        <v>-0.32311436100000002</v>
      </c>
      <c r="Z112" s="25">
        <v>1.0882909510000001</v>
      </c>
      <c r="AA112" s="25">
        <v>0.93278054200000005</v>
      </c>
      <c r="AB112" s="26">
        <v>0.64313810678555305</v>
      </c>
      <c r="AC112" s="25"/>
      <c r="AD112" s="25"/>
      <c r="AE112" s="25"/>
      <c r="AF112" s="25"/>
      <c r="AG112" s="71">
        <v>0.68332133351790003</v>
      </c>
      <c r="AH112" s="68"/>
      <c r="AI112" s="64"/>
      <c r="AJ112" s="64"/>
      <c r="AK112" s="64"/>
      <c r="AL112" s="55"/>
      <c r="AM112" s="18"/>
      <c r="AN112" s="15"/>
      <c r="AO112" s="15"/>
      <c r="AP112" s="15"/>
      <c r="AQ112" s="15"/>
    </row>
    <row r="113" spans="1:52" x14ac:dyDescent="0.25">
      <c r="A113" t="s">
        <v>137</v>
      </c>
      <c r="B113" t="s">
        <v>102</v>
      </c>
      <c r="C113" s="1">
        <v>43544</v>
      </c>
      <c r="E113" t="s">
        <v>103</v>
      </c>
      <c r="G113" s="33">
        <v>-0.336648585</v>
      </c>
      <c r="H113" s="33">
        <v>1.674563918</v>
      </c>
      <c r="I113" s="33">
        <v>1.185279446</v>
      </c>
      <c r="J113" s="33">
        <v>3.2965566329999998</v>
      </c>
      <c r="K113" s="33">
        <v>-2.9570381220000002</v>
      </c>
      <c r="L113" s="33">
        <v>1.6140739479999999</v>
      </c>
      <c r="M113" s="33">
        <v>37.435994270000002</v>
      </c>
      <c r="N113" s="33">
        <v>-2.0040057501424826</v>
      </c>
      <c r="O113" s="33">
        <v>0</v>
      </c>
      <c r="P113" s="33">
        <v>3.55E-12</v>
      </c>
      <c r="Q113" s="37">
        <v>-0.113114598</v>
      </c>
      <c r="R113" s="33">
        <v>-5.5194021000000003E-2</v>
      </c>
      <c r="S113" s="33">
        <v>-5.8733091010000003</v>
      </c>
      <c r="T113" s="9">
        <v>43.8</v>
      </c>
      <c r="U113" s="34">
        <v>0.98488563299999998</v>
      </c>
      <c r="V113" s="9">
        <v>100</v>
      </c>
      <c r="W113" s="34">
        <v>9.2890589840000004</v>
      </c>
      <c r="X113" s="12">
        <v>6</v>
      </c>
      <c r="Y113" s="34">
        <v>-0.32519356999999999</v>
      </c>
      <c r="Z113" s="25">
        <v>1.0882909510000001</v>
      </c>
      <c r="AA113" s="25">
        <v>0.93278054200000005</v>
      </c>
      <c r="AB113" s="26">
        <v>0.64087532244561496</v>
      </c>
      <c r="AC113" s="25"/>
      <c r="AD113" s="25"/>
      <c r="AE113" s="25"/>
      <c r="AF113" s="25"/>
      <c r="AG113" s="71">
        <v>0.68079195304679996</v>
      </c>
      <c r="AH113" s="68"/>
      <c r="AI113" s="64"/>
      <c r="AJ113" s="64"/>
      <c r="AK113" s="64"/>
      <c r="AL113" s="55"/>
      <c r="AM113" s="18"/>
      <c r="AN113" s="15"/>
      <c r="AO113" s="15"/>
      <c r="AP113" s="15"/>
      <c r="AQ113" s="15"/>
    </row>
    <row r="114" spans="1:52" s="5" customFormat="1" x14ac:dyDescent="0.25">
      <c r="A114" s="5" t="s">
        <v>138</v>
      </c>
      <c r="B114" s="5" t="s">
        <v>102</v>
      </c>
      <c r="C114" s="6">
        <v>43546</v>
      </c>
      <c r="E114" s="5" t="s">
        <v>103</v>
      </c>
      <c r="G114" s="40">
        <v>-0.29185487999999998</v>
      </c>
      <c r="H114" s="40">
        <v>1.741158371</v>
      </c>
      <c r="I114" s="40">
        <v>1.304165995</v>
      </c>
      <c r="J114" s="40">
        <v>3.5073078139999998</v>
      </c>
      <c r="K114" s="40">
        <v>12.15260501</v>
      </c>
      <c r="L114" s="40">
        <v>1.6596373129999999</v>
      </c>
      <c r="M114" s="40">
        <v>37.504935230000001</v>
      </c>
      <c r="N114" s="40">
        <v>-1.9376859686494754</v>
      </c>
      <c r="O114" s="40">
        <v>0</v>
      </c>
      <c r="P114" s="40">
        <v>3.55E-12</v>
      </c>
      <c r="Q114" s="41">
        <v>-0.105964607</v>
      </c>
      <c r="R114" s="40">
        <v>2.1879918000000002E-2</v>
      </c>
      <c r="S114" s="40">
        <v>9.0121248610000002</v>
      </c>
      <c r="T114" s="11">
        <v>43.7</v>
      </c>
      <c r="U114" s="36">
        <v>0.76089522700000001</v>
      </c>
      <c r="V114" s="11">
        <v>27</v>
      </c>
      <c r="W114" s="36">
        <v>6.8903790300000001</v>
      </c>
      <c r="X114" s="14">
        <v>23</v>
      </c>
      <c r="Y114" s="36">
        <f>Q114-((1/T114)*W114)</f>
        <v>-0.26363918434553774</v>
      </c>
      <c r="Z114" s="30">
        <v>1.0882909510000001</v>
      </c>
      <c r="AA114" s="30">
        <v>0.93278054200000005</v>
      </c>
      <c r="AB114" s="29">
        <f>(Z114*Y114)+AA114+0.062</f>
        <v>0.70786440334773038</v>
      </c>
      <c r="AC114" s="30"/>
      <c r="AD114" s="30"/>
      <c r="AE114" s="30"/>
      <c r="AF114" s="30"/>
      <c r="AG114" s="71">
        <v>0.75493991770174296</v>
      </c>
      <c r="AH114" s="70"/>
      <c r="AI114" s="66"/>
      <c r="AJ114" s="66"/>
      <c r="AK114" s="66"/>
      <c r="AL114" s="57"/>
      <c r="AM114" s="20"/>
      <c r="AN114" s="17"/>
      <c r="AO114" s="17"/>
      <c r="AP114" s="17"/>
      <c r="AQ114" s="17"/>
      <c r="AR114" s="53"/>
      <c r="AS114" s="53"/>
      <c r="AT114" s="24"/>
      <c r="AU114" s="24"/>
      <c r="AV114" s="24"/>
      <c r="AW114" s="24"/>
      <c r="AX114" s="24"/>
      <c r="AY114" s="62"/>
      <c r="AZ114" s="24"/>
    </row>
    <row r="115" spans="1:52" x14ac:dyDescent="0.25">
      <c r="A115" t="s">
        <v>139</v>
      </c>
      <c r="B115" t="s">
        <v>102</v>
      </c>
      <c r="C115" s="1">
        <v>43550</v>
      </c>
      <c r="E115" t="s">
        <v>103</v>
      </c>
      <c r="G115" s="33">
        <v>-0.39944321999999999</v>
      </c>
      <c r="H115" s="33">
        <v>1.5841459849999999</v>
      </c>
      <c r="I115" s="33">
        <v>0.99423356799999996</v>
      </c>
      <c r="J115" s="33">
        <v>3.1593356090000002</v>
      </c>
      <c r="K115" s="33">
        <v>7.1692971679999999</v>
      </c>
      <c r="L115" s="33">
        <v>1.5500916709999999</v>
      </c>
      <c r="M115" s="33">
        <v>37.342395009999997</v>
      </c>
      <c r="N115" s="33">
        <v>-2.0940463076153719</v>
      </c>
      <c r="O115" s="33">
        <v>0</v>
      </c>
      <c r="P115" s="33">
        <v>2E-12</v>
      </c>
      <c r="Q115" s="37">
        <v>-0.15039011899999999</v>
      </c>
      <c r="R115" s="33">
        <v>-1.1433845999999999E-2</v>
      </c>
      <c r="S115" s="33">
        <v>4.4688021549999997</v>
      </c>
      <c r="T115" s="9">
        <v>41.6</v>
      </c>
      <c r="U115" s="34">
        <v>0.88025257099999998</v>
      </c>
      <c r="V115" s="9">
        <v>15</v>
      </c>
      <c r="W115" s="34">
        <v>7.823912065</v>
      </c>
      <c r="X115" s="12">
        <v>8</v>
      </c>
      <c r="Y115" s="34">
        <v>-0.338464928</v>
      </c>
      <c r="Z115" s="25">
        <v>1.0882909510000001</v>
      </c>
      <c r="AA115" s="25">
        <v>0.93278054200000005</v>
      </c>
      <c r="AB115" s="26">
        <v>0.62643222362673301</v>
      </c>
      <c r="AC115" s="25"/>
      <c r="AD115" s="25"/>
      <c r="AE115" s="25"/>
      <c r="AF115" s="25"/>
      <c r="AG115" s="71">
        <v>0.66477254339650005</v>
      </c>
      <c r="AH115" s="68"/>
      <c r="AI115" s="64"/>
      <c r="AJ115" s="64"/>
      <c r="AK115" s="64"/>
      <c r="AL115" s="55"/>
      <c r="AM115" s="18"/>
      <c r="AN115" s="15"/>
      <c r="AO115" s="15"/>
      <c r="AP115" s="15"/>
      <c r="AQ115" s="15"/>
    </row>
    <row r="116" spans="1:52" x14ac:dyDescent="0.25">
      <c r="C116" s="1"/>
      <c r="T116" s="9"/>
      <c r="U116" s="34"/>
      <c r="V116" s="9"/>
      <c r="W116" s="34"/>
      <c r="X116" s="12"/>
      <c r="Y116" s="34"/>
      <c r="Z116" s="25"/>
      <c r="AA116" s="25"/>
      <c r="AB116" s="26"/>
      <c r="AC116" s="25"/>
      <c r="AD116" s="25"/>
      <c r="AE116" s="25"/>
      <c r="AF116" s="25"/>
      <c r="AG116" s="71"/>
      <c r="AH116" s="68"/>
      <c r="AI116" s="64"/>
      <c r="AJ116" s="64"/>
      <c r="AK116" s="64"/>
      <c r="AL116" s="55"/>
      <c r="AM116" s="18"/>
      <c r="AN116" s="15"/>
      <c r="AO116" s="15"/>
      <c r="AP116" s="15"/>
      <c r="AQ116" s="15"/>
    </row>
    <row r="117" spans="1:52" s="7" customFormat="1" x14ac:dyDescent="0.25">
      <c r="A117" s="7" t="s">
        <v>16</v>
      </c>
      <c r="B117" s="7" t="s">
        <v>17</v>
      </c>
      <c r="C117" s="8">
        <v>43395</v>
      </c>
      <c r="E117" s="7" t="s">
        <v>17</v>
      </c>
      <c r="G117" s="39">
        <v>-20.915433799999999</v>
      </c>
      <c r="H117" s="39">
        <v>-2.8249285020000001</v>
      </c>
      <c r="I117" s="39">
        <v>-24.300171979999998</v>
      </c>
      <c r="J117" s="39">
        <v>-5.5385864429999998</v>
      </c>
      <c r="K117" s="39">
        <v>3.3029700970000002</v>
      </c>
      <c r="L117" s="39">
        <v>-20.26686033</v>
      </c>
      <c r="M117" s="39">
        <v>32.818968480000002</v>
      </c>
      <c r="N117" s="33">
        <v>-6.44548932595319</v>
      </c>
      <c r="O117" s="39">
        <v>0</v>
      </c>
      <c r="P117" s="39">
        <v>-2.2199999999999999E-13</v>
      </c>
      <c r="Q117" s="38">
        <v>-6.7717309999999996E-3</v>
      </c>
      <c r="R117" s="39">
        <v>0.103683599</v>
      </c>
      <c r="S117" s="39">
        <v>31.892751579999999</v>
      </c>
      <c r="T117" s="10">
        <v>37.800000000000004</v>
      </c>
      <c r="U117" s="35">
        <v>0.77708216699999999</v>
      </c>
      <c r="V117" s="10">
        <v>19</v>
      </c>
      <c r="W117" s="35">
        <v>6.6370507009999997</v>
      </c>
      <c r="X117" s="13">
        <v>7</v>
      </c>
      <c r="Y117" s="35">
        <f>Q117-((1/(T117))*W117)</f>
        <v>-0.18235508287830687</v>
      </c>
      <c r="Z117" s="28">
        <v>1.0509501299999999</v>
      </c>
      <c r="AA117" s="28">
        <v>0.948791991</v>
      </c>
      <c r="AB117" s="27">
        <f t="shared" ref="AB117:AB124" si="2">(Y117*Z117)+AA117+0.062</f>
        <v>0.81914589294288254</v>
      </c>
      <c r="AC117" s="28">
        <f>AVERAGE(AB119:AB124)</f>
        <v>0.71142595038391165</v>
      </c>
      <c r="AD117" s="28">
        <f>STDEV(AB119:AB124)</f>
        <v>4.0133690976817023E-2</v>
      </c>
      <c r="AE117" s="28">
        <f>AD117/SQRT(COUNT(AB119:AB125))</f>
        <v>1.5169109359967823E-2</v>
      </c>
      <c r="AF117" s="28">
        <f>_xlfn.CONFIDENCE.T(0.05,AD117,COUNT(AB119:AB125))</f>
        <v>3.7117473464219349E-2</v>
      </c>
      <c r="AG117" s="71">
        <v>0.88746068793599997</v>
      </c>
      <c r="AH117" s="69">
        <f>AVERAGE(AG119:AG124)</f>
        <v>0.72069595249869156</v>
      </c>
      <c r="AI117" s="65">
        <f>STDEV(AG119:AG124)</f>
        <v>1.2900485304119602E-2</v>
      </c>
      <c r="AJ117" s="65">
        <f>AI117/SQRT(COUNT(AG119:AG125))</f>
        <v>4.8759251295348461E-3</v>
      </c>
      <c r="AK117" s="65">
        <f>_xlfn.CONFIDENCE.T(0.05,AI117,COUNT(AG119:AG125))</f>
        <v>1.1930958984754386E-2</v>
      </c>
      <c r="AL117" s="56">
        <v>5</v>
      </c>
      <c r="AM117" s="19">
        <v>1</v>
      </c>
      <c r="AN117" s="16"/>
      <c r="AO117" s="16"/>
      <c r="AP117" s="16">
        <v>5</v>
      </c>
      <c r="AQ117" s="16">
        <v>9.2439088000000003E-2</v>
      </c>
      <c r="AR117" s="52"/>
      <c r="AS117" s="52"/>
      <c r="AT117" s="23"/>
      <c r="AU117" s="23"/>
      <c r="AV117" s="23"/>
      <c r="AW117" s="23"/>
      <c r="AX117" s="23"/>
      <c r="AY117" s="61"/>
      <c r="AZ117" s="23"/>
    </row>
    <row r="118" spans="1:52" s="7" customFormat="1" x14ac:dyDescent="0.25">
      <c r="A118" s="7" t="s">
        <v>18</v>
      </c>
      <c r="B118" s="7" t="s">
        <v>17</v>
      </c>
      <c r="C118" s="8">
        <v>43403</v>
      </c>
      <c r="E118" s="7" t="s">
        <v>17</v>
      </c>
      <c r="G118" s="39">
        <v>-20.447586149999999</v>
      </c>
      <c r="H118" s="39">
        <v>-2.6838898090000001</v>
      </c>
      <c r="I118" s="39">
        <v>-23.559918799999998</v>
      </c>
      <c r="J118" s="39">
        <v>-5.2340394950000002</v>
      </c>
      <c r="K118" s="39">
        <v>-9.5569024700000007</v>
      </c>
      <c r="L118" s="39">
        <v>-19.75358306</v>
      </c>
      <c r="M118" s="39">
        <v>32.963508179999998</v>
      </c>
      <c r="N118" s="33">
        <v>-6.3064451159352757</v>
      </c>
      <c r="O118" s="39">
        <v>0</v>
      </c>
      <c r="P118" s="39">
        <v>0</v>
      </c>
      <c r="Q118" s="38">
        <v>0.112025235</v>
      </c>
      <c r="R118" s="39">
        <v>0.12703509499999999</v>
      </c>
      <c r="S118" s="39">
        <v>17.848124559999999</v>
      </c>
      <c r="T118" s="10">
        <v>23.099999999999998</v>
      </c>
      <c r="U118" s="35">
        <v>0.75001131200000004</v>
      </c>
      <c r="V118" s="10">
        <v>14</v>
      </c>
      <c r="W118" s="35">
        <v>4.3139580290000001</v>
      </c>
      <c r="X118" s="13">
        <v>6</v>
      </c>
      <c r="Y118" s="35">
        <f>Q118-((1/(T118))*W118)</f>
        <v>-7.4726194826839842E-2</v>
      </c>
      <c r="Z118" s="28">
        <v>1.0509501299999999</v>
      </c>
      <c r="AA118" s="28">
        <v>0.948791991</v>
      </c>
      <c r="AB118" s="27">
        <f t="shared" si="2"/>
        <v>0.93225848683232737</v>
      </c>
      <c r="AC118" s="28"/>
      <c r="AD118" s="28"/>
      <c r="AE118" s="28"/>
      <c r="AF118" s="28"/>
      <c r="AG118" s="71">
        <v>1.0149610082205001</v>
      </c>
      <c r="AH118" s="69"/>
      <c r="AI118" s="65"/>
      <c r="AJ118" s="65"/>
      <c r="AK118" s="65"/>
      <c r="AL118" s="56"/>
      <c r="AM118" s="19"/>
      <c r="AN118" s="16"/>
      <c r="AO118" s="16"/>
      <c r="AP118" s="16"/>
      <c r="AQ118" s="16"/>
      <c r="AR118" s="52"/>
      <c r="AS118" s="52"/>
      <c r="AT118" s="23"/>
      <c r="AU118" s="23"/>
      <c r="AV118" s="23"/>
      <c r="AW118" s="23"/>
      <c r="AX118" s="23"/>
      <c r="AY118" s="61"/>
      <c r="AZ118" s="23"/>
    </row>
    <row r="119" spans="1:52" x14ac:dyDescent="0.25">
      <c r="A119" t="s">
        <v>147</v>
      </c>
      <c r="B119" t="s">
        <v>17</v>
      </c>
      <c r="C119" s="1">
        <v>43611</v>
      </c>
      <c r="E119" t="s">
        <v>17</v>
      </c>
      <c r="G119" s="33">
        <v>-20.946637899999999</v>
      </c>
      <c r="H119" s="33">
        <v>-2.949328527</v>
      </c>
      <c r="I119" s="33">
        <v>-24.51467499</v>
      </c>
      <c r="J119" s="33">
        <v>-5.950795974</v>
      </c>
      <c r="K119" s="33">
        <v>-26.73766629</v>
      </c>
      <c r="L119" s="33">
        <v>-20.295702460000001</v>
      </c>
      <c r="M119" s="33">
        <v>32.690059179999999</v>
      </c>
      <c r="N119" s="33">
        <v>-6.5694974135751636</v>
      </c>
      <c r="O119" s="33">
        <v>0</v>
      </c>
      <c r="P119" s="33">
        <v>-2.2199999999999999E-13</v>
      </c>
      <c r="Q119" s="37">
        <v>-7.1120483999999998E-2</v>
      </c>
      <c r="R119" s="33">
        <v>-6.1390948000000001E-2</v>
      </c>
      <c r="S119" s="33">
        <v>1.275485266</v>
      </c>
      <c r="T119" s="9">
        <v>34.400000000000006</v>
      </c>
      <c r="U119" s="34">
        <v>0.95980590899999996</v>
      </c>
      <c r="V119" s="9">
        <v>36</v>
      </c>
      <c r="W119" s="34">
        <v>5.7470637379999996</v>
      </c>
      <c r="X119" s="12">
        <v>6</v>
      </c>
      <c r="Y119" s="36">
        <f>Q119-((1/(T119))*W119)</f>
        <v>-0.23818629033720928</v>
      </c>
      <c r="Z119" s="25">
        <v>1.0483067260000001</v>
      </c>
      <c r="AA119" s="25">
        <v>0.86867988399999996</v>
      </c>
      <c r="AB119" s="26">
        <f t="shared" si="2"/>
        <v>0.68098759379851459</v>
      </c>
      <c r="AC119" s="25"/>
      <c r="AD119" s="25"/>
      <c r="AE119" s="25"/>
      <c r="AF119" s="25"/>
      <c r="AG119" s="71">
        <v>0.73113541847359997</v>
      </c>
      <c r="AH119" s="68"/>
      <c r="AI119" s="64"/>
      <c r="AJ119" s="64"/>
      <c r="AK119" s="64"/>
      <c r="AL119" s="55"/>
      <c r="AM119" s="18"/>
      <c r="AN119" s="15"/>
      <c r="AO119" s="15"/>
      <c r="AP119" s="15"/>
      <c r="AQ119" s="15"/>
    </row>
    <row r="120" spans="1:52" x14ac:dyDescent="0.25">
      <c r="A120" t="s">
        <v>148</v>
      </c>
      <c r="B120" t="s">
        <v>17</v>
      </c>
      <c r="C120" s="1">
        <v>43614</v>
      </c>
      <c r="E120" t="s">
        <v>17</v>
      </c>
      <c r="G120" s="33">
        <v>-20.994596170000001</v>
      </c>
      <c r="H120" s="33">
        <v>-2.8770899810000001</v>
      </c>
      <c r="I120" s="33">
        <v>-24.47943798</v>
      </c>
      <c r="J120" s="33">
        <v>-5.8097803810000004</v>
      </c>
      <c r="K120" s="33">
        <v>-27.920676319999998</v>
      </c>
      <c r="L120" s="33">
        <v>-20.349806659999999</v>
      </c>
      <c r="M120" s="33">
        <v>32.76507067</v>
      </c>
      <c r="N120" s="33">
        <v>-6.4973379074372133</v>
      </c>
      <c r="O120" s="33">
        <v>0</v>
      </c>
      <c r="P120" s="33">
        <v>-2.2199999999999999E-13</v>
      </c>
      <c r="Q120" s="37">
        <v>-5.5635564999999998E-2</v>
      </c>
      <c r="R120" s="33">
        <v>-6.4440707E-2</v>
      </c>
      <c r="S120" s="33">
        <v>-3.1618372999999998E-2</v>
      </c>
      <c r="T120" s="9">
        <v>31.499999999999996</v>
      </c>
      <c r="U120" s="34">
        <v>0.95980590899999996</v>
      </c>
      <c r="V120" s="9">
        <v>42</v>
      </c>
      <c r="W120" s="34">
        <v>5.7470637379999996</v>
      </c>
      <c r="X120" s="12">
        <v>6</v>
      </c>
      <c r="Y120" s="36">
        <f>Q120-((1/(T120))*W120)</f>
        <v>-0.23808203287301588</v>
      </c>
      <c r="Z120" s="25">
        <v>1.0483067260000001</v>
      </c>
      <c r="AA120" s="25">
        <v>0.86867988399999996</v>
      </c>
      <c r="AB120" s="26">
        <f t="shared" si="2"/>
        <v>0.6810968875994643</v>
      </c>
      <c r="AC120" s="25"/>
      <c r="AD120" s="25"/>
      <c r="AE120" s="25"/>
      <c r="AF120" s="25"/>
      <c r="AG120" s="71">
        <v>0.73125260124879998</v>
      </c>
      <c r="AH120" s="68"/>
      <c r="AI120" s="64"/>
      <c r="AJ120" s="64"/>
      <c r="AK120" s="64"/>
      <c r="AL120" s="55"/>
      <c r="AM120" s="18"/>
      <c r="AN120" s="15"/>
      <c r="AO120" s="15"/>
      <c r="AP120" s="15"/>
      <c r="AQ120" s="15"/>
    </row>
    <row r="121" spans="1:52" x14ac:dyDescent="0.25">
      <c r="A121" t="s">
        <v>149</v>
      </c>
      <c r="B121" t="s">
        <v>17</v>
      </c>
      <c r="C121" s="1">
        <v>43615</v>
      </c>
      <c r="E121" t="s">
        <v>17</v>
      </c>
      <c r="G121" s="33">
        <v>-20.856408210000001</v>
      </c>
      <c r="H121" s="33">
        <v>-2.8321386550000001</v>
      </c>
      <c r="I121" s="33">
        <v>-24.314949630000001</v>
      </c>
      <c r="J121" s="33">
        <v>-5.7516022490000003</v>
      </c>
      <c r="K121" s="33">
        <v>-35.352488489999999</v>
      </c>
      <c r="L121" s="33">
        <v>-20.203302440000002</v>
      </c>
      <c r="M121" s="33">
        <v>32.811354790000003</v>
      </c>
      <c r="N121" s="33">
        <v>-6.4528135386875647</v>
      </c>
      <c r="O121" s="33">
        <v>0</v>
      </c>
      <c r="P121" s="33">
        <v>-4.4399999999999998E-13</v>
      </c>
      <c r="Q121" s="37">
        <v>-7.7041414000000003E-2</v>
      </c>
      <c r="R121" s="33">
        <v>-9.6080535999999994E-2</v>
      </c>
      <c r="S121" s="33">
        <v>-7.9139513929999996</v>
      </c>
      <c r="T121" s="9">
        <v>32.700000000000003</v>
      </c>
      <c r="U121" s="34">
        <v>0.95980590899999996</v>
      </c>
      <c r="V121" s="9">
        <v>44</v>
      </c>
      <c r="W121" s="34">
        <v>5.7470637379999996</v>
      </c>
      <c r="X121" s="12">
        <v>6</v>
      </c>
      <c r="Y121" s="36">
        <f>Q121-((1/(T121))*W121)</f>
        <v>-0.25279259864831805</v>
      </c>
      <c r="Z121" s="25">
        <v>1.0483067260000001</v>
      </c>
      <c r="AA121" s="25">
        <v>0.86867988399999996</v>
      </c>
      <c r="AB121" s="26">
        <f t="shared" si="2"/>
        <v>0.6656757025539497</v>
      </c>
      <c r="AC121" s="25"/>
      <c r="AD121" s="25"/>
      <c r="AE121" s="25"/>
      <c r="AF121" s="25"/>
      <c r="AG121" s="71">
        <v>0.71402673329440003</v>
      </c>
      <c r="AH121" s="68"/>
      <c r="AI121" s="64"/>
      <c r="AJ121" s="64"/>
      <c r="AK121" s="64"/>
      <c r="AL121" s="55"/>
      <c r="AM121" s="18"/>
      <c r="AN121" s="15"/>
      <c r="AO121" s="15"/>
      <c r="AP121" s="15"/>
      <c r="AQ121" s="15"/>
    </row>
    <row r="122" spans="1:52" s="5" customFormat="1" x14ac:dyDescent="0.25">
      <c r="A122" s="5" t="s">
        <v>156</v>
      </c>
      <c r="B122" s="5" t="s">
        <v>17</v>
      </c>
      <c r="C122" s="6">
        <v>43165</v>
      </c>
      <c r="E122" s="5" t="s">
        <v>17</v>
      </c>
      <c r="G122" s="40">
        <v>-20.54889936</v>
      </c>
      <c r="H122" s="40">
        <v>-2.4406306230000001</v>
      </c>
      <c r="I122" s="40">
        <v>-23.64716142</v>
      </c>
      <c r="J122" s="40">
        <v>-4.717970158</v>
      </c>
      <c r="K122" s="40">
        <v>127.47580720000001</v>
      </c>
      <c r="L122" s="40">
        <v>-19.81651085</v>
      </c>
      <c r="M122" s="40">
        <v>32.97019203</v>
      </c>
      <c r="N122" s="33">
        <v>-6.3000153901012936</v>
      </c>
      <c r="O122" s="40">
        <v>0</v>
      </c>
      <c r="P122" s="40">
        <v>0</v>
      </c>
      <c r="Q122" s="41">
        <v>-0.11312511</v>
      </c>
      <c r="R122" s="40">
        <v>0.157923126</v>
      </c>
      <c r="S122" s="40">
        <v>158.2381383</v>
      </c>
      <c r="T122" s="11">
        <v>38.700000000000003</v>
      </c>
      <c r="U122" s="36"/>
      <c r="V122" s="11"/>
      <c r="W122" s="36"/>
      <c r="X122" s="14"/>
      <c r="Y122" s="36">
        <v>-0.11312511</v>
      </c>
      <c r="Z122" s="30">
        <v>0.99279977600000002</v>
      </c>
      <c r="AA122" s="30">
        <v>0.79041731900000001</v>
      </c>
      <c r="AB122" s="29">
        <f t="shared" si="2"/>
        <v>0.74010673513202474</v>
      </c>
      <c r="AC122" s="30"/>
      <c r="AD122" s="30"/>
      <c r="AE122" s="30"/>
      <c r="AF122" s="30"/>
      <c r="AG122" s="71">
        <f>(Y122*1.21665)+0.84519</f>
        <v>0.70755633491850001</v>
      </c>
      <c r="AH122" s="70"/>
      <c r="AI122" s="66"/>
      <c r="AJ122" s="66"/>
      <c r="AK122" s="66"/>
      <c r="AL122" s="57"/>
      <c r="AM122" s="20"/>
      <c r="AN122" s="17"/>
      <c r="AO122" s="17"/>
      <c r="AP122" s="17"/>
      <c r="AQ122" s="17"/>
      <c r="AR122" s="53"/>
      <c r="AS122" s="53"/>
      <c r="AT122" s="24"/>
      <c r="AU122" s="24"/>
      <c r="AV122" s="24"/>
      <c r="AW122" s="24"/>
      <c r="AX122" s="24"/>
      <c r="AY122" s="62"/>
      <c r="AZ122" s="24"/>
    </row>
    <row r="123" spans="1:52" x14ac:dyDescent="0.25">
      <c r="A123" t="s">
        <v>157</v>
      </c>
      <c r="B123" t="s">
        <v>17</v>
      </c>
      <c r="C123" s="1">
        <v>43165</v>
      </c>
      <c r="E123" t="s">
        <v>17</v>
      </c>
      <c r="G123" s="33">
        <v>-21.225247960000001</v>
      </c>
      <c r="H123" s="33">
        <v>-2.6417748570000001</v>
      </c>
      <c r="I123" s="33">
        <v>-24.514940339999999</v>
      </c>
      <c r="J123" s="33">
        <v>-5.1021666679999997</v>
      </c>
      <c r="K123" s="33">
        <v>94.308283189999997</v>
      </c>
      <c r="L123" s="33">
        <v>-20.533731020000001</v>
      </c>
      <c r="M123" s="33">
        <v>32.763252119999997</v>
      </c>
      <c r="N123" s="33">
        <v>-6.4990873150265998</v>
      </c>
      <c r="O123" s="33">
        <v>0</v>
      </c>
      <c r="P123" s="33">
        <v>0</v>
      </c>
      <c r="Q123" s="37">
        <v>-9.1279012000000007E-2</v>
      </c>
      <c r="R123" s="33">
        <v>0.175141406</v>
      </c>
      <c r="S123" s="33">
        <v>125.4397249</v>
      </c>
      <c r="T123" s="9">
        <v>36</v>
      </c>
      <c r="U123" s="34"/>
      <c r="V123" s="9"/>
      <c r="W123" s="34"/>
      <c r="X123" s="12"/>
      <c r="Y123" s="34">
        <v>-9.1279012000000007E-2</v>
      </c>
      <c r="Z123" s="25">
        <v>0.99279977600000002</v>
      </c>
      <c r="AA123" s="25">
        <v>0.79041731900000001</v>
      </c>
      <c r="AB123" s="26">
        <f t="shared" si="2"/>
        <v>0.76179553633289876</v>
      </c>
      <c r="AC123" s="25"/>
      <c r="AD123" s="25"/>
      <c r="AE123" s="25"/>
      <c r="AF123" s="25"/>
      <c r="AG123" s="71">
        <f>(Y123*1.21665)+0.84519</f>
        <v>0.73413539005020001</v>
      </c>
      <c r="AH123" s="68"/>
      <c r="AI123" s="64"/>
      <c r="AJ123" s="64"/>
      <c r="AK123" s="64"/>
      <c r="AL123" s="55"/>
      <c r="AM123" s="18"/>
      <c r="AN123" s="15"/>
      <c r="AO123" s="15"/>
      <c r="AP123" s="15"/>
      <c r="AQ123" s="15"/>
    </row>
    <row r="124" spans="1:52" x14ac:dyDescent="0.25">
      <c r="A124" t="s">
        <v>158</v>
      </c>
      <c r="B124" t="s">
        <v>17</v>
      </c>
      <c r="C124" s="1">
        <v>43166</v>
      </c>
      <c r="E124" t="s">
        <v>17</v>
      </c>
      <c r="G124" s="33">
        <v>-21.00496163</v>
      </c>
      <c r="H124" s="33">
        <v>-2.6298480510000002</v>
      </c>
      <c r="I124" s="33">
        <v>-24.302054049999999</v>
      </c>
      <c r="J124" s="33">
        <v>-5.0750601270000004</v>
      </c>
      <c r="K124" s="33">
        <v>91.366619560000004</v>
      </c>
      <c r="L124" s="33">
        <v>-20.30359597</v>
      </c>
      <c r="M124" s="33">
        <v>32.774969290000001</v>
      </c>
      <c r="N124" s="33">
        <v>-6.4878156391735047</v>
      </c>
      <c r="O124" s="33">
        <v>0</v>
      </c>
      <c r="P124" s="33">
        <v>7.5500000000000007E-12</v>
      </c>
      <c r="Q124" s="37">
        <v>-0.114347399</v>
      </c>
      <c r="R124" s="33">
        <v>0.178469555</v>
      </c>
      <c r="S124" s="33">
        <v>122.125253</v>
      </c>
      <c r="T124" s="9">
        <v>36.200000000000003</v>
      </c>
      <c r="U124" s="34"/>
      <c r="V124" s="9"/>
      <c r="W124" s="34"/>
      <c r="X124" s="12"/>
      <c r="Y124" s="34">
        <v>-0.114347399</v>
      </c>
      <c r="Z124" s="25">
        <v>0.99279977600000002</v>
      </c>
      <c r="AA124" s="25">
        <v>0.79041731900000001</v>
      </c>
      <c r="AB124" s="26">
        <f t="shared" si="2"/>
        <v>0.73889324688661739</v>
      </c>
      <c r="AC124" s="25"/>
      <c r="AD124" s="25"/>
      <c r="AE124" s="25"/>
      <c r="AF124" s="25"/>
      <c r="AG124" s="71">
        <f>(Y124*1.21665)+0.84519</f>
        <v>0.70606923700665003</v>
      </c>
      <c r="AH124" s="68"/>
      <c r="AI124" s="64"/>
      <c r="AJ124" s="64"/>
      <c r="AK124" s="64"/>
      <c r="AL124" s="55"/>
      <c r="AM124" s="18"/>
      <c r="AN124" s="15"/>
      <c r="AO124" s="15"/>
      <c r="AP124" s="15"/>
      <c r="AQ124" s="15"/>
    </row>
    <row r="125" spans="1:52" s="5" customFormat="1" ht="15.75" thickBot="1" x14ac:dyDescent="0.3">
      <c r="A125" s="5" t="s">
        <v>159</v>
      </c>
      <c r="B125" s="5" t="s">
        <v>17</v>
      </c>
      <c r="C125" s="6">
        <v>43573</v>
      </c>
      <c r="E125" s="5" t="s">
        <v>17</v>
      </c>
      <c r="G125" s="40">
        <v>-21.00404219</v>
      </c>
      <c r="H125" s="40">
        <v>-2.5687189340000001</v>
      </c>
      <c r="I125" s="40">
        <v>-24.097942020000001</v>
      </c>
      <c r="J125" s="40">
        <v>-5.1232807920000001</v>
      </c>
      <c r="K125" s="40">
        <v>-31.470719760000001</v>
      </c>
      <c r="L125" s="40">
        <v>-20.30485019</v>
      </c>
      <c r="M125" s="40">
        <v>32.838331940000003</v>
      </c>
      <c r="N125" s="33">
        <v>-6.4268620768381197</v>
      </c>
      <c r="O125" s="40">
        <v>0</v>
      </c>
      <c r="P125" s="40">
        <v>0</v>
      </c>
      <c r="Q125" s="41">
        <v>3.3603331E-2</v>
      </c>
      <c r="R125" s="40">
        <v>7.4090019999999996E-3</v>
      </c>
      <c r="S125" s="40">
        <v>-4.2949895580000002</v>
      </c>
      <c r="T125" s="11">
        <v>36.5</v>
      </c>
      <c r="U125" s="36"/>
      <c r="V125" s="11"/>
      <c r="W125" s="36"/>
      <c r="X125" s="11"/>
      <c r="Y125" s="36">
        <v>3.3603331E-2</v>
      </c>
      <c r="Z125" s="30">
        <v>1.115886827</v>
      </c>
      <c r="AA125" s="30">
        <v>0.79244448499999998</v>
      </c>
      <c r="AB125" s="31">
        <f>(Y125*Z125)+AA125</f>
        <v>0.82994199940622071</v>
      </c>
      <c r="AC125" s="30"/>
      <c r="AD125" s="30"/>
      <c r="AE125" s="30"/>
      <c r="AF125" s="30"/>
      <c r="AG125" s="72">
        <f>(Y125*1.25567)+0.84878</f>
        <v>0.89097469463677004</v>
      </c>
      <c r="AH125" s="70"/>
      <c r="AI125" s="66"/>
      <c r="AJ125" s="66"/>
      <c r="AK125" s="66"/>
      <c r="AL125" s="57"/>
      <c r="AM125" s="20"/>
      <c r="AN125" s="17"/>
      <c r="AO125" s="17"/>
      <c r="AP125" s="17"/>
      <c r="AQ125" s="17"/>
      <c r="AR125" s="53"/>
      <c r="AS125" s="53"/>
      <c r="AT125" s="24"/>
      <c r="AU125" s="24"/>
      <c r="AV125" s="24"/>
      <c r="AW125" s="24"/>
      <c r="AX125" s="24"/>
      <c r="AY125" s="62"/>
      <c r="AZ125" s="24"/>
    </row>
  </sheetData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7" sqref="A7"/>
    </sheetView>
  </sheetViews>
  <sheetFormatPr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s="4" t="s">
        <v>207</v>
      </c>
    </row>
    <row r="5" spans="1:1" x14ac:dyDescent="0.25">
      <c r="A5" s="4" t="s">
        <v>206</v>
      </c>
    </row>
    <row r="6" spans="1:1" x14ac:dyDescent="0.25">
      <c r="A6" s="4"/>
    </row>
    <row r="7" spans="1:1" x14ac:dyDescent="0.25">
      <c r="A7" s="4" t="s">
        <v>214</v>
      </c>
    </row>
    <row r="8" spans="1:1" x14ac:dyDescent="0.25">
      <c r="A8" s="4" t="s">
        <v>213</v>
      </c>
    </row>
    <row r="10" spans="1:1" x14ac:dyDescent="0.25">
      <c r="A10" t="s">
        <v>164</v>
      </c>
    </row>
    <row r="11" spans="1:1" x14ac:dyDescent="0.25">
      <c r="A11" t="s">
        <v>163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calibration_samples_ARF</vt:lpstr>
      <vt:lpstr>Notes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</dc:creator>
  <cp:lastModifiedBy>Stuart Umbo (ARM - Staff)</cp:lastModifiedBy>
  <dcterms:created xsi:type="dcterms:W3CDTF">2019-08-27T23:48:23Z</dcterms:created>
  <dcterms:modified xsi:type="dcterms:W3CDTF">2021-03-04T00:47:31Z</dcterms:modified>
</cp:coreProperties>
</file>